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3" sheetId="2" r:id="rId2"/>
  </sheets>
  <definedNames>
    <definedName name="_xlnm.Print_Area" localSheetId="0">'Sheet1'!$A$1:$I$153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<sst xmlns="http://schemas.openxmlformats.org/spreadsheetml/2006/main" count="310" uniqueCount="158">
  <si>
    <t>Mã số</t>
  </si>
  <si>
    <t>Chỉ tiêu</t>
  </si>
  <si>
    <t>ĐVT</t>
  </si>
  <si>
    <t>% so sánh với</t>
  </si>
  <si>
    <t>Cùng kỳ</t>
  </si>
  <si>
    <t>Kế hoạch</t>
  </si>
  <si>
    <t>A</t>
  </si>
  <si>
    <t>B</t>
  </si>
  <si>
    <t>C</t>
  </si>
  <si>
    <t>4=3/1</t>
  </si>
  <si>
    <t>SẢN XUẤT NÔNG NGHIỆP</t>
  </si>
  <si>
    <t>I.</t>
  </si>
  <si>
    <t>TRỒNG TRỌT</t>
  </si>
  <si>
    <t>Cây hàng năm</t>
  </si>
  <si>
    <t>Tổng DT gieo trồng</t>
  </si>
  <si>
    <t>Ha</t>
  </si>
  <si>
    <t>1.1.</t>
  </si>
  <si>
    <t>Cây lương thực có hạt</t>
  </si>
  <si>
    <t>Cây lúa</t>
  </si>
  <si>
    <t>Vụ Thu Đông-mùa</t>
  </si>
  <si>
    <t xml:space="preserve"> - Diện tích </t>
  </si>
  <si>
    <t xml:space="preserve"> - Năng suất </t>
  </si>
  <si>
    <t>Tạ/ha</t>
  </si>
  <si>
    <t xml:space="preserve"> - Sản lượng</t>
  </si>
  <si>
    <t>tấn</t>
  </si>
  <si>
    <t xml:space="preserve"> - DT gieo sạ</t>
  </si>
  <si>
    <t>ha</t>
  </si>
  <si>
    <t xml:space="preserve"> - Diện tích thu hoạch</t>
  </si>
  <si>
    <t>Vụ Hè Thu</t>
  </si>
  <si>
    <t>Cây màu</t>
  </si>
  <si>
    <t>Diện tích gieo trồng</t>
  </si>
  <si>
    <t>Diện tích thu hoạch</t>
  </si>
  <si>
    <t>Cây bắp</t>
  </si>
  <si>
    <t xml:space="preserve"> - Diện tích gieo trồng</t>
  </si>
  <si>
    <t xml:space="preserve"> - Diện tích thu hoạch</t>
  </si>
  <si>
    <t>''</t>
  </si>
  <si>
    <t xml:space="preserve"> - Sản lượng </t>
  </si>
  <si>
    <t>Tấn</t>
  </si>
  <si>
    <t>1.2.</t>
  </si>
  <si>
    <t>Cây có củ</t>
  </si>
  <si>
    <t xml:space="preserve">Khoai lang </t>
  </si>
  <si>
    <t xml:space="preserve"> + Diện tích gieo trồng</t>
  </si>
  <si>
    <t xml:space="preserve"> + Diện tích thu hoạch</t>
  </si>
  <si>
    <t xml:space="preserve"> + Năng suất </t>
  </si>
  <si>
    <t xml:space="preserve"> + Sản lượng </t>
  </si>
  <si>
    <t>Sắn</t>
  </si>
  <si>
    <t xml:space="preserve">Cây có củ khác </t>
  </si>
  <si>
    <t>1.3.</t>
  </si>
  <si>
    <t>Cây thực phẩm</t>
  </si>
  <si>
    <t>Rau các loại</t>
  </si>
  <si>
    <t xml:space="preserve"> + DT gieo trồng </t>
  </si>
  <si>
    <t>Đậu các loại</t>
  </si>
  <si>
    <t>1.4</t>
  </si>
  <si>
    <t>Cây công nghiệp hàng năm</t>
  </si>
  <si>
    <t xml:space="preserve"> </t>
  </si>
  <si>
    <t>Đậu phộng</t>
  </si>
  <si>
    <t>Mía</t>
  </si>
  <si>
    <t xml:space="preserve"> + Diện tích trồng</t>
  </si>
  <si>
    <t>Trong đó: DT trồng mới</t>
  </si>
  <si>
    <t xml:space="preserve"> + Năng suất</t>
  </si>
  <si>
    <t>Cây lác (cói)</t>
  </si>
  <si>
    <t>Cây trồng khác</t>
  </si>
  <si>
    <t>Cây lâu năm</t>
  </si>
  <si>
    <t>II</t>
  </si>
  <si>
    <t>CHĂN NUÔI</t>
  </si>
  <si>
    <t>LÂM NGHIỆP</t>
  </si>
  <si>
    <t>1.</t>
  </si>
  <si>
    <t>Lâm sinh</t>
  </si>
  <si>
    <t>DT rừng trồng tập trung</t>
  </si>
  <si>
    <t xml:space="preserve">  Trong đó:</t>
  </si>
  <si>
    <t xml:space="preserve"> - Rừng phòng hộ </t>
  </si>
  <si>
    <t xml:space="preserve"> ''</t>
  </si>
  <si>
    <t xml:space="preserve"> - Rừng đặc dụng</t>
  </si>
  <si>
    <t xml:space="preserve"> - Rừng sản xuất</t>
  </si>
  <si>
    <t xml:space="preserve"> DT trồng lại sau khai thác</t>
  </si>
  <si>
    <t>DT rừng trồng được chăm sóc</t>
  </si>
  <si>
    <t>DT khoanh nuôi tái sinh</t>
  </si>
  <si>
    <t>1.4.</t>
  </si>
  <si>
    <t>DT giao khoán bảo vệ</t>
  </si>
  <si>
    <t>1.5.</t>
  </si>
  <si>
    <t>Số cây lâm nghiệp phân tán</t>
  </si>
  <si>
    <t>1000 cây</t>
  </si>
  <si>
    <t>2.</t>
  </si>
  <si>
    <t>Khai thác</t>
  </si>
  <si>
    <t xml:space="preserve"> - Sản lượng gỗ khai thác</t>
  </si>
  <si>
    <r>
      <t>m</t>
    </r>
    <r>
      <rPr>
        <vertAlign val="superscript"/>
        <sz val="11"/>
        <rFont val="Times New Roman"/>
        <family val="1"/>
      </rPr>
      <t>3</t>
    </r>
  </si>
  <si>
    <r>
      <t xml:space="preserve"> </t>
    </r>
    <r>
      <rPr>
        <i/>
        <sz val="11"/>
        <rFont val="Times New Roman"/>
        <family val="1"/>
      </rPr>
      <t xml:space="preserve">  Trong đó</t>
    </r>
    <r>
      <rPr>
        <sz val="11"/>
        <rFont val="Times New Roman"/>
        <family val="1"/>
      </rPr>
      <t xml:space="preserve">: Gỗ rừng trồng </t>
    </r>
  </si>
  <si>
    <t>DIÊM NGHIỆP</t>
  </si>
  <si>
    <t>D</t>
  </si>
  <si>
    <t>THỦY SẢN</t>
  </si>
  <si>
    <t>Tổng diện tích nuôi</t>
  </si>
  <si>
    <t>Nuôi nước ngọt</t>
  </si>
  <si>
    <t xml:space="preserve"> - Diện tích nuôi cá</t>
  </si>
  <si>
    <t xml:space="preserve">    Trong đó: cá tra, cá ba sa</t>
  </si>
  <si>
    <t xml:space="preserve"> - Diện tích nuôi giáp xác</t>
  </si>
  <si>
    <t xml:space="preserve">    Trong đó: tôm càng xanh</t>
  </si>
  <si>
    <t xml:space="preserve"> - Diện tích nuôi khác</t>
  </si>
  <si>
    <t>Nuôi nước mặn, lợ</t>
  </si>
  <si>
    <t xml:space="preserve">    Trong đó: + cá giò, cá song</t>
  </si>
  <si>
    <t xml:space="preserve">                   + …</t>
  </si>
  <si>
    <t xml:space="preserve"> Trong đó: + Tôm sú</t>
  </si>
  <si>
    <t xml:space="preserve">                + Tôm thẻ chân trắng</t>
  </si>
  <si>
    <t xml:space="preserve">                + Cua biển                   </t>
  </si>
  <si>
    <t xml:space="preserve"> - Diện tích nuôi khác
 (nghêu - sò huyết)</t>
  </si>
  <si>
    <t>Thể tích nuôi lồng, bè</t>
  </si>
  <si>
    <t>- Nuôi cá</t>
  </si>
  <si>
    <t>- Nuôi giáp xác</t>
  </si>
  <si>
    <t>- Nuôi nhuyễn thể</t>
  </si>
  <si>
    <t>3.</t>
  </si>
  <si>
    <t>Sản lượng con giống SX</t>
  </si>
  <si>
    <t>Triệu con</t>
  </si>
  <si>
    <t>- Cá giống</t>
  </si>
  <si>
    <t>- Tôm giống</t>
  </si>
  <si>
    <t>- Nhuyễn thể giống</t>
  </si>
  <si>
    <t>Tổng sản lượng thủy sản</t>
  </si>
  <si>
    <t>4.1</t>
  </si>
  <si>
    <t>Tổng sản lượng nuôi</t>
  </si>
  <si>
    <t>4.1.1</t>
  </si>
  <si>
    <t xml:space="preserve"> - Sản lượng cá</t>
  </si>
  <si>
    <r>
      <t xml:space="preserve"> 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>Trong đó:  cá tra, cá ba sa</t>
    </r>
  </si>
  <si>
    <t xml:space="preserve"> - Sản lượng giáp xác</t>
  </si>
  <si>
    <r>
      <t xml:space="preserve">    Trong đó: tôm càng xanh</t>
    </r>
  </si>
  <si>
    <t xml:space="preserve"> - Sản lượng thủy sản khác</t>
  </si>
  <si>
    <t>4.1.2.</t>
  </si>
  <si>
    <t xml:space="preserve"> - Sản lượng cá nuôi</t>
  </si>
  <si>
    <r>
      <t xml:space="preserve">    Trong đó: Cá giò, cá song</t>
    </r>
  </si>
  <si>
    <t xml:space="preserve">     …</t>
  </si>
  <si>
    <t xml:space="preserve"> - Sản lượng giáp xác nuôi</t>
  </si>
  <si>
    <r>
      <t xml:space="preserve">    Trong đó: + Tôm sú</t>
    </r>
  </si>
  <si>
    <t xml:space="preserve">                   + Tôm thẻ chân trắng</t>
  </si>
  <si>
    <t xml:space="preserve">                   + Nuôi cua biển</t>
  </si>
  <si>
    <t xml:space="preserve"> - Sản lượng thủy sản khác
 (nghêu - sò huyết)</t>
  </si>
  <si>
    <t>4.2</t>
  </si>
  <si>
    <t>Tổng sản lượng khai thác</t>
  </si>
  <si>
    <t>4.2.1.</t>
  </si>
  <si>
    <t>Khai thác biển</t>
  </si>
  <si>
    <t xml:space="preserve"> + Sản lượng cá khai thác</t>
  </si>
  <si>
    <t xml:space="preserve"> Trong đó: - Loài ….</t>
  </si>
  <si>
    <t xml:space="preserve"> - …</t>
  </si>
  <si>
    <t xml:space="preserve"> + Sản lượng giáp xác khai thác</t>
  </si>
  <si>
    <t xml:space="preserve"> Trong đó: - Tôm…</t>
  </si>
  <si>
    <t xml:space="preserve"> + SL nhuyễn thể khai thác</t>
  </si>
  <si>
    <t xml:space="preserve"> + SL hải sản khác khai thác</t>
  </si>
  <si>
    <t>4.2.2</t>
  </si>
  <si>
    <t>Khai thác nội địa</t>
  </si>
  <si>
    <r>
      <t>Trong đó:</t>
    </r>
    <r>
      <rPr>
        <sz val="11"/>
        <rFont val="Times New Roman"/>
        <family val="1"/>
      </rPr>
      <t>- Cá các loại</t>
    </r>
  </si>
  <si>
    <t xml:space="preserve">               - Tôm các loại</t>
  </si>
  <si>
    <t xml:space="preserve">               - Nhuyễn thể các loại</t>
  </si>
  <si>
    <t xml:space="preserve">               - Giáp xác các loại 
                  (không kể tôm)</t>
  </si>
  <si>
    <t xml:space="preserve">               - Thủy sản khác</t>
  </si>
  <si>
    <t>VỀ SẢN XUẤT NÔNG, LÂM, DIÊM NGHIỆP VÀ THỦY SẢN</t>
  </si>
  <si>
    <t>KH 
vụ/năm
2013</t>
  </si>
  <si>
    <t>BÁO CÁO 7 THÁNG ĐẦU NĂM</t>
  </si>
  <si>
    <t>Ước TH 7 tháng đầu năm 2013</t>
  </si>
  <si>
    <t xml:space="preserve"> + Cây hàng năm khác </t>
  </si>
  <si>
    <t xml:space="preserve"> + Dây thuốc cá </t>
  </si>
  <si>
    <t>Thực hiện tháng 7</t>
  </si>
  <si>
    <t>Thực hiện
 cùng kỳ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</si>
</sst>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  <numFmt numFmtId="168" formatCode="#,##0.000"/>
    <numFmt numFmtId="169" formatCode="0.000"/>
    <numFmt numFmtId="170" formatCode="#,##0.0"/>
    <numFmt numFmtId="171" formatCode="_(* #,##0.000_);_(* \(#,##0.000\);_(* &quot;-&quot;???_);_(@_)"/>
    <numFmt numFmtId="172" formatCode="_(* #,##0.0000_);_(* \(#,##0.0000\);_(* &quot;-&quot;??_);_(@_)"/>
    <numFmt numFmtId="173" formatCode="_(* #,##0.0_);_(* \(#,##0.0\);_(* &quot;-&quot;?_);_(@_)"/>
  </numFmts>
  <fonts count="1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0" fontId="2" fillId="0" borderId="4" xfId="19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43" fontId="1" fillId="0" borderId="4" xfId="15" applyNumberFormat="1" applyFont="1" applyBorder="1" applyAlignment="1">
      <alignment horizontal="right" vertical="center"/>
    </xf>
    <xf numFmtId="166" fontId="1" fillId="0" borderId="4" xfId="15" applyNumberFormat="1" applyFont="1" applyBorder="1" applyAlignment="1">
      <alignment horizontal="right" vertical="center"/>
    </xf>
    <xf numFmtId="10" fontId="1" fillId="0" borderId="4" xfId="19" applyNumberFormat="1" applyFont="1" applyBorder="1" applyAlignment="1">
      <alignment horizontal="right"/>
    </xf>
    <xf numFmtId="166" fontId="2" fillId="0" borderId="4" xfId="15" applyNumberFormat="1" applyFont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43" fontId="2" fillId="0" borderId="4" xfId="15" applyFont="1" applyBorder="1" applyAlignment="1">
      <alignment horizontal="center" vertical="center"/>
    </xf>
    <xf numFmtId="43" fontId="2" fillId="0" borderId="4" xfId="15" applyFont="1" applyBorder="1" applyAlignment="1">
      <alignment/>
    </xf>
    <xf numFmtId="43" fontId="2" fillId="0" borderId="4" xfId="15" applyFont="1" applyBorder="1" applyAlignment="1">
      <alignment horizontal="center"/>
    </xf>
    <xf numFmtId="166" fontId="2" fillId="0" borderId="4" xfId="15" applyNumberFormat="1" applyFont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 quotePrefix="1">
      <alignment horizontal="center" vertical="center" wrapText="1"/>
    </xf>
    <xf numFmtId="166" fontId="1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 quotePrefix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 quotePrefix="1">
      <alignment vertical="center"/>
    </xf>
    <xf numFmtId="43" fontId="1" fillId="0" borderId="4" xfId="15" applyFont="1" applyBorder="1" applyAlignment="1">
      <alignment horizontal="center"/>
    </xf>
    <xf numFmtId="0" fontId="1" fillId="0" borderId="4" xfId="0" applyFont="1" applyBorder="1" applyAlignment="1" quotePrefix="1">
      <alignment horizontal="center" vertical="center"/>
    </xf>
    <xf numFmtId="166" fontId="1" fillId="0" borderId="4" xfId="15" applyNumberFormat="1" applyFont="1" applyBorder="1" applyAlignment="1">
      <alignment/>
    </xf>
    <xf numFmtId="0" fontId="1" fillId="0" borderId="4" xfId="0" applyFont="1" applyBorder="1" applyAlignment="1">
      <alignment horizontal="left" vertical="center" wrapText="1"/>
    </xf>
    <xf numFmtId="166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43" fontId="2" fillId="0" borderId="4" xfId="15" applyNumberFormat="1" applyFont="1" applyBorder="1" applyAlignment="1">
      <alignment/>
    </xf>
    <xf numFmtId="1" fontId="2" fillId="0" borderId="4" xfId="0" applyNumberFormat="1" applyFont="1" applyBorder="1" applyAlignment="1">
      <alignment horizontal="center" vertical="center"/>
    </xf>
    <xf numFmtId="43" fontId="2" fillId="0" borderId="4" xfId="15" applyFont="1" applyBorder="1" applyAlignment="1">
      <alignment horizontal="left"/>
    </xf>
    <xf numFmtId="43" fontId="1" fillId="0" borderId="4" xfId="15" applyFont="1" applyBorder="1" applyAlignment="1">
      <alignment horizontal="left"/>
    </xf>
    <xf numFmtId="43" fontId="1" fillId="0" borderId="4" xfId="15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 quotePrefix="1">
      <alignment horizontal="center"/>
    </xf>
    <xf numFmtId="0" fontId="4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0" fontId="2" fillId="0" borderId="4" xfId="0" applyFont="1" applyFill="1" applyBorder="1" applyAlignment="1">
      <alignment horizontal="left"/>
    </xf>
    <xf numFmtId="43" fontId="1" fillId="0" borderId="4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10" fontId="1" fillId="0" borderId="4" xfId="19" applyNumberFormat="1" applyFont="1" applyBorder="1" applyAlignment="1">
      <alignment horizontal="right" vertical="center"/>
    </xf>
    <xf numFmtId="0" fontId="1" fillId="0" borderId="4" xfId="0" applyFont="1" applyBorder="1" applyAlignment="1" quotePrefix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 quotePrefix="1">
      <alignment/>
    </xf>
    <xf numFmtId="164" fontId="2" fillId="0" borderId="4" xfId="0" applyNumberFormat="1" applyFont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4" fontId="2" fillId="0" borderId="5" xfId="0" applyNumberFormat="1" applyFont="1" applyBorder="1" applyAlignment="1" quotePrefix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10" fontId="1" fillId="0" borderId="5" xfId="19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3" fontId="2" fillId="0" borderId="4" xfId="15" applyNumberFormat="1" applyFont="1" applyBorder="1" applyAlignment="1">
      <alignment horizontal="right" vertical="center"/>
    </xf>
    <xf numFmtId="43" fontId="2" fillId="0" borderId="4" xfId="15" applyFont="1" applyBorder="1" applyAlignment="1">
      <alignment horizontal="center" vertical="center" wrapText="1"/>
    </xf>
    <xf numFmtId="166" fontId="1" fillId="0" borderId="4" xfId="19" applyNumberFormat="1" applyFont="1" applyBorder="1" applyAlignment="1">
      <alignment horizontal="right"/>
    </xf>
    <xf numFmtId="166" fontId="1" fillId="0" borderId="4" xfId="15" applyNumberFormat="1" applyFont="1" applyBorder="1" applyAlignment="1">
      <alignment horizontal="right"/>
    </xf>
    <xf numFmtId="166" fontId="1" fillId="0" borderId="4" xfId="15" applyNumberFormat="1" applyFont="1" applyFill="1" applyBorder="1" applyAlignment="1">
      <alignment/>
    </xf>
    <xf numFmtId="43" fontId="1" fillId="0" borderId="4" xfId="15" applyNumberFormat="1" applyFont="1" applyBorder="1" applyAlignment="1">
      <alignment horizontal="right"/>
    </xf>
    <xf numFmtId="43" fontId="1" fillId="0" borderId="4" xfId="15" applyFont="1" applyBorder="1" applyAlignment="1">
      <alignment/>
    </xf>
    <xf numFmtId="166" fontId="2" fillId="0" borderId="4" xfId="15" applyNumberFormat="1" applyFont="1" applyBorder="1" applyAlignment="1">
      <alignment vertical="center"/>
    </xf>
    <xf numFmtId="166" fontId="1" fillId="0" borderId="4" xfId="15" applyNumberFormat="1" applyFont="1" applyBorder="1" applyAlignment="1">
      <alignment vertical="center"/>
    </xf>
    <xf numFmtId="166" fontId="3" fillId="0" borderId="4" xfId="15" applyNumberFormat="1" applyFont="1" applyBorder="1" applyAlignment="1">
      <alignment horizontal="center" vertical="center"/>
    </xf>
    <xf numFmtId="166" fontId="1" fillId="0" borderId="4" xfId="15" applyNumberFormat="1" applyFont="1" applyBorder="1" applyAlignment="1">
      <alignment vertical="center" wrapText="1"/>
    </xf>
    <xf numFmtId="43" fontId="1" fillId="0" borderId="4" xfId="15" applyNumberFormat="1" applyFont="1" applyBorder="1" applyAlignment="1">
      <alignment/>
    </xf>
    <xf numFmtId="43" fontId="1" fillId="0" borderId="4" xfId="15" applyNumberFormat="1" applyFont="1" applyBorder="1" applyAlignment="1">
      <alignment vertical="center" wrapText="1"/>
    </xf>
    <xf numFmtId="43" fontId="3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/>
    </xf>
    <xf numFmtId="166" fontId="2" fillId="0" borderId="4" xfId="15" applyNumberFormat="1" applyFont="1" applyBorder="1" applyAlignment="1">
      <alignment/>
    </xf>
    <xf numFmtId="167" fontId="1" fillId="0" borderId="4" xfId="15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43" fontId="11" fillId="0" borderId="0" xfId="0" applyNumberFormat="1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3" fontId="0" fillId="0" borderId="0" xfId="15" applyFont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166" fontId="1" fillId="0" borderId="4" xfId="19" applyNumberFormat="1" applyFont="1" applyFill="1" applyBorder="1" applyAlignment="1">
      <alignment/>
    </xf>
    <xf numFmtId="166" fontId="1" fillId="0" borderId="6" xfId="15" applyNumberFormat="1" applyFont="1" applyBorder="1" applyAlignment="1">
      <alignment/>
    </xf>
    <xf numFmtId="167" fontId="1" fillId="0" borderId="6" xfId="0" applyNumberFormat="1" applyFont="1" applyBorder="1" applyAlignment="1">
      <alignment vertical="top" wrapText="1"/>
    </xf>
    <xf numFmtId="167" fontId="1" fillId="0" borderId="6" xfId="15" applyNumberFormat="1" applyFont="1" applyBorder="1" applyAlignment="1">
      <alignment/>
    </xf>
    <xf numFmtId="4" fontId="1" fillId="0" borderId="6" xfId="0" applyNumberFormat="1" applyFont="1" applyBorder="1" applyAlignment="1">
      <alignment vertical="top" wrapText="1"/>
    </xf>
    <xf numFmtId="3" fontId="1" fillId="0" borderId="6" xfId="0" applyNumberFormat="1" applyFont="1" applyBorder="1" applyAlignment="1">
      <alignment vertical="top" wrapText="1"/>
    </xf>
    <xf numFmtId="166" fontId="1" fillId="0" borderId="6" xfId="0" applyNumberFormat="1" applyFont="1" applyBorder="1" applyAlignment="1">
      <alignment vertical="top" wrapText="1"/>
    </xf>
    <xf numFmtId="166" fontId="1" fillId="0" borderId="6" xfId="15" applyNumberFormat="1" applyFont="1" applyBorder="1" applyAlignment="1">
      <alignment vertical="center" wrapText="1"/>
    </xf>
    <xf numFmtId="166" fontId="1" fillId="0" borderId="6" xfId="15" applyNumberFormat="1" applyFont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" fontId="1" fillId="0" borderId="4" xfId="15" applyNumberFormat="1" applyFont="1" applyBorder="1" applyAlignment="1">
      <alignment vertical="center"/>
    </xf>
    <xf numFmtId="166" fontId="1" fillId="0" borderId="5" xfId="0" applyNumberFormat="1" applyFont="1" applyBorder="1" applyAlignment="1">
      <alignment/>
    </xf>
    <xf numFmtId="172" fontId="1" fillId="0" borderId="4" xfId="15" applyNumberFormat="1" applyFont="1" applyBorder="1" applyAlignment="1">
      <alignment horizontal="right" vertical="center"/>
    </xf>
    <xf numFmtId="166" fontId="1" fillId="0" borderId="4" xfId="15" applyNumberFormat="1" applyFont="1" applyBorder="1" applyAlignment="1">
      <alignment horizontal="center" vertical="center"/>
    </xf>
    <xf numFmtId="167" fontId="1" fillId="0" borderId="4" xfId="15" applyNumberFormat="1" applyFont="1" applyBorder="1" applyAlignment="1">
      <alignment vertical="center"/>
    </xf>
    <xf numFmtId="167" fontId="1" fillId="0" borderId="4" xfId="15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43" fontId="1" fillId="0" borderId="4" xfId="0" applyNumberFormat="1" applyFont="1" applyBorder="1" applyAlignment="1">
      <alignment vertical="center"/>
    </xf>
    <xf numFmtId="43" fontId="1" fillId="0" borderId="4" xfId="0" applyNumberFormat="1" applyFont="1" applyBorder="1" applyAlignment="1">
      <alignment/>
    </xf>
    <xf numFmtId="0" fontId="12" fillId="0" borderId="0" xfId="0" applyFont="1" applyAlignment="1">
      <alignment/>
    </xf>
    <xf numFmtId="43" fontId="1" fillId="0" borderId="4" xfId="0" applyNumberFormat="1" applyFont="1" applyBorder="1" applyAlignment="1">
      <alignment vertical="center"/>
    </xf>
    <xf numFmtId="43" fontId="2" fillId="0" borderId="4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4" xfId="0" applyNumberFormat="1" applyFont="1" applyFill="1" applyBorder="1" applyAlignment="1">
      <alignment/>
    </xf>
    <xf numFmtId="166" fontId="1" fillId="0" borderId="5" xfId="0" applyNumberFormat="1" applyFont="1" applyFill="1" applyBorder="1" applyAlignment="1">
      <alignment/>
    </xf>
    <xf numFmtId="166" fontId="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49" sqref="K149"/>
    </sheetView>
  </sheetViews>
  <sheetFormatPr defaultColWidth="9.140625" defaultRowHeight="12.75"/>
  <cols>
    <col min="1" max="1" width="4.7109375" style="0" customWidth="1"/>
    <col min="2" max="2" width="26.00390625" style="0" customWidth="1"/>
    <col min="3" max="3" width="8.00390625" style="0" customWidth="1"/>
    <col min="4" max="4" width="10.421875" style="0" bestFit="1" customWidth="1"/>
    <col min="5" max="5" width="9.8515625" style="0" bestFit="1" customWidth="1"/>
    <col min="6" max="6" width="11.00390625" style="0" customWidth="1"/>
    <col min="7" max="7" width="10.28125" style="0" customWidth="1"/>
    <col min="8" max="8" width="9.28125" style="0" customWidth="1"/>
    <col min="9" max="9" width="9.8515625" style="0" customWidth="1"/>
    <col min="10" max="10" width="11.28125" style="0" bestFit="1" customWidth="1"/>
    <col min="11" max="11" width="12.8515625" style="0" customWidth="1"/>
    <col min="12" max="12" width="12.8515625" style="0" bestFit="1" customWidth="1"/>
  </cols>
  <sheetData>
    <row r="1" spans="1:9" ht="15.75">
      <c r="A1" s="134" t="s">
        <v>152</v>
      </c>
      <c r="B1" s="134"/>
      <c r="C1" s="134"/>
      <c r="D1" s="134"/>
      <c r="E1" s="134"/>
      <c r="F1" s="134"/>
      <c r="G1" s="134"/>
      <c r="H1" s="134"/>
      <c r="I1" s="134"/>
    </row>
    <row r="2" spans="1:9" ht="15.75">
      <c r="A2" s="134" t="s">
        <v>150</v>
      </c>
      <c r="B2" s="134"/>
      <c r="C2" s="134"/>
      <c r="D2" s="134"/>
      <c r="E2" s="134"/>
      <c r="F2" s="134"/>
      <c r="G2" s="134"/>
      <c r="H2" s="134"/>
      <c r="I2" s="134"/>
    </row>
    <row r="3" spans="1:9" ht="15.75">
      <c r="A3" s="135"/>
      <c r="B3" s="135"/>
      <c r="C3" s="135"/>
      <c r="D3" s="135"/>
      <c r="E3" s="135"/>
      <c r="F3" s="135"/>
      <c r="G3" s="135"/>
      <c r="H3" s="135"/>
      <c r="I3" s="135"/>
    </row>
    <row r="4" spans="1:9" ht="12.75">
      <c r="A4" s="65"/>
      <c r="B4" s="66"/>
      <c r="C4" s="67"/>
      <c r="D4" s="68"/>
      <c r="E4" s="67"/>
      <c r="F4" s="67"/>
      <c r="G4" s="69"/>
      <c r="H4" s="70"/>
      <c r="I4" s="70"/>
    </row>
    <row r="5" spans="1:13" ht="15" customHeight="1">
      <c r="A5" s="136" t="s">
        <v>0</v>
      </c>
      <c r="B5" s="138" t="s">
        <v>1</v>
      </c>
      <c r="C5" s="128" t="s">
        <v>2</v>
      </c>
      <c r="D5" s="128" t="s">
        <v>157</v>
      </c>
      <c r="E5" s="128" t="s">
        <v>151</v>
      </c>
      <c r="F5" s="128" t="s">
        <v>156</v>
      </c>
      <c r="G5" s="128" t="s">
        <v>153</v>
      </c>
      <c r="H5" s="130" t="s">
        <v>3</v>
      </c>
      <c r="I5" s="131"/>
      <c r="J5" s="92"/>
      <c r="K5" s="92"/>
      <c r="L5" s="92"/>
      <c r="M5" s="92"/>
    </row>
    <row r="6" spans="1:13" ht="30" customHeight="1">
      <c r="A6" s="137"/>
      <c r="B6" s="139"/>
      <c r="C6" s="129"/>
      <c r="D6" s="129"/>
      <c r="E6" s="129"/>
      <c r="F6" s="129"/>
      <c r="G6" s="129"/>
      <c r="H6" s="2" t="s">
        <v>4</v>
      </c>
      <c r="I6" s="1" t="s">
        <v>5</v>
      </c>
      <c r="J6" s="92"/>
      <c r="K6" s="92"/>
      <c r="L6" s="92"/>
      <c r="M6" s="92"/>
    </row>
    <row r="7" spans="1:13" ht="15">
      <c r="A7" s="3" t="s">
        <v>6</v>
      </c>
      <c r="B7" s="132" t="s">
        <v>7</v>
      </c>
      <c r="C7" s="133"/>
      <c r="D7" s="96">
        <v>4</v>
      </c>
      <c r="E7" s="4">
        <v>1</v>
      </c>
      <c r="F7" s="2"/>
      <c r="G7" s="2"/>
      <c r="H7" s="2">
        <v>3</v>
      </c>
      <c r="I7" s="2" t="s">
        <v>9</v>
      </c>
      <c r="J7" s="92"/>
      <c r="K7" s="92"/>
      <c r="L7" s="92"/>
      <c r="M7" s="92"/>
    </row>
    <row r="8" spans="1:13" ht="15">
      <c r="A8" s="13" t="s">
        <v>6</v>
      </c>
      <c r="B8" s="14" t="s">
        <v>10</v>
      </c>
      <c r="C8" s="15"/>
      <c r="D8" s="109"/>
      <c r="E8" s="72"/>
      <c r="F8" s="72"/>
      <c r="G8" s="16"/>
      <c r="H8" s="6"/>
      <c r="I8" s="6"/>
      <c r="J8" s="91"/>
      <c r="K8" s="92"/>
      <c r="L8" s="92"/>
      <c r="M8" s="92"/>
    </row>
    <row r="9" spans="1:13" ht="15">
      <c r="A9" s="13" t="s">
        <v>11</v>
      </c>
      <c r="B9" s="14" t="s">
        <v>12</v>
      </c>
      <c r="C9" s="17"/>
      <c r="D9" s="10"/>
      <c r="E9" s="18"/>
      <c r="F9" s="18"/>
      <c r="G9" s="18"/>
      <c r="H9" s="6"/>
      <c r="I9" s="6"/>
      <c r="J9" s="91"/>
      <c r="K9" s="92"/>
      <c r="L9" s="92"/>
      <c r="M9" s="92"/>
    </row>
    <row r="10" spans="1:13" ht="15">
      <c r="A10" s="19">
        <v>1</v>
      </c>
      <c r="B10" s="14" t="s">
        <v>13</v>
      </c>
      <c r="C10" s="17"/>
      <c r="D10" s="10"/>
      <c r="E10" s="18"/>
      <c r="F10" s="18"/>
      <c r="G10" s="18"/>
      <c r="H10" s="6"/>
      <c r="I10" s="6"/>
      <c r="J10" s="91"/>
      <c r="K10" s="92"/>
      <c r="L10" s="92"/>
      <c r="M10" s="92"/>
    </row>
    <row r="11" spans="1:13" ht="15">
      <c r="A11" s="13"/>
      <c r="B11" s="14" t="s">
        <v>14</v>
      </c>
      <c r="C11" s="5" t="s">
        <v>15</v>
      </c>
      <c r="D11" s="10">
        <f>+D13+D24</f>
        <v>131829.71</v>
      </c>
      <c r="E11" s="10">
        <f>+E13+E24</f>
        <v>226080</v>
      </c>
      <c r="F11" s="10">
        <f>+F13+F24</f>
        <v>11660</v>
      </c>
      <c r="G11" s="10">
        <f>+G13+G24</f>
        <v>128155</v>
      </c>
      <c r="H11" s="6">
        <f>G11/D11</f>
        <v>0.9721253274394672</v>
      </c>
      <c r="I11" s="6">
        <f>+G11/E11</f>
        <v>0.56685686482661</v>
      </c>
      <c r="J11" s="91"/>
      <c r="K11" s="92"/>
      <c r="L11" s="92"/>
      <c r="M11" s="92"/>
    </row>
    <row r="12" spans="1:13" ht="15">
      <c r="A12" s="20" t="s">
        <v>16</v>
      </c>
      <c r="B12" s="14" t="s">
        <v>17</v>
      </c>
      <c r="C12" s="5" t="s">
        <v>15</v>
      </c>
      <c r="D12" s="10">
        <f>+D13+D27</f>
        <v>96276.72</v>
      </c>
      <c r="E12" s="10">
        <f>+E13+E27</f>
        <v>176300</v>
      </c>
      <c r="F12" s="10">
        <f>+F13+F27</f>
        <v>8683</v>
      </c>
      <c r="G12" s="10">
        <f>+G13+G27</f>
        <v>92314</v>
      </c>
      <c r="H12" s="11">
        <f>G12/D12</f>
        <v>0.9588403094746061</v>
      </c>
      <c r="I12" s="11">
        <f>+G12/E12</f>
        <v>0.5236188315371526</v>
      </c>
      <c r="J12" s="91"/>
      <c r="K12" s="92"/>
      <c r="L12" s="92"/>
      <c r="M12" s="92"/>
    </row>
    <row r="13" spans="1:13" ht="15" customHeight="1">
      <c r="A13" s="22"/>
      <c r="B13" s="14" t="s">
        <v>18</v>
      </c>
      <c r="C13" s="5" t="s">
        <v>15</v>
      </c>
      <c r="D13" s="10">
        <f>+D15+D20</f>
        <v>92636</v>
      </c>
      <c r="E13" s="10">
        <f>+E15+E20</f>
        <v>170500</v>
      </c>
      <c r="F13" s="10">
        <f>+F15+F20</f>
        <v>8672</v>
      </c>
      <c r="G13" s="10">
        <f>+G15+G20</f>
        <v>88672</v>
      </c>
      <c r="H13" s="11">
        <f>G13/D13</f>
        <v>0.957208860486204</v>
      </c>
      <c r="I13" s="11">
        <f>+G13/E13</f>
        <v>0.5200703812316716</v>
      </c>
      <c r="J13" s="91"/>
      <c r="K13" s="92"/>
      <c r="L13" s="92"/>
      <c r="M13" s="92"/>
    </row>
    <row r="14" spans="1:13" ht="15">
      <c r="A14" s="22"/>
      <c r="B14" s="27" t="s">
        <v>28</v>
      </c>
      <c r="C14" s="7"/>
      <c r="D14" s="76"/>
      <c r="E14" s="25"/>
      <c r="F14" s="25"/>
      <c r="G14" s="9"/>
      <c r="H14" s="6"/>
      <c r="I14" s="6"/>
      <c r="J14" s="91"/>
      <c r="K14" s="92"/>
      <c r="L14" s="92"/>
      <c r="M14" s="92"/>
    </row>
    <row r="15" spans="1:13" ht="15">
      <c r="A15" s="22"/>
      <c r="B15" s="26" t="s">
        <v>25</v>
      </c>
      <c r="C15" s="7" t="s">
        <v>26</v>
      </c>
      <c r="D15" s="79">
        <v>80200</v>
      </c>
      <c r="E15" s="97">
        <f>+E16</f>
        <v>81000</v>
      </c>
      <c r="F15" s="97">
        <f>++G15-80000</f>
        <v>657</v>
      </c>
      <c r="G15" s="10">
        <v>80657</v>
      </c>
      <c r="H15" s="11">
        <f>G15/D15</f>
        <v>1.0056982543640898</v>
      </c>
      <c r="I15" s="11">
        <f>+G15/E15</f>
        <v>0.9957654320987654</v>
      </c>
      <c r="J15" s="91"/>
      <c r="K15" s="95"/>
      <c r="L15" s="95"/>
      <c r="M15" s="92"/>
    </row>
    <row r="16" spans="1:13" ht="15">
      <c r="A16" s="22"/>
      <c r="B16" s="26" t="s">
        <v>27</v>
      </c>
      <c r="C16" s="7" t="s">
        <v>15</v>
      </c>
      <c r="D16" s="110">
        <v>18069</v>
      </c>
      <c r="E16" s="10">
        <v>81000</v>
      </c>
      <c r="F16" s="10">
        <f>+G16-2382</f>
        <v>12610</v>
      </c>
      <c r="G16" s="10">
        <v>14992</v>
      </c>
      <c r="H16" s="11">
        <f>G16/D16</f>
        <v>0.8297083402512591</v>
      </c>
      <c r="I16" s="11">
        <f>+G16/E16</f>
        <v>0.18508641975308643</v>
      </c>
      <c r="J16" s="91"/>
      <c r="K16" s="92"/>
      <c r="L16" s="92"/>
      <c r="M16" s="92"/>
    </row>
    <row r="17" spans="1:13" ht="15">
      <c r="A17" s="22"/>
      <c r="B17" s="26" t="s">
        <v>21</v>
      </c>
      <c r="C17" s="5" t="s">
        <v>22</v>
      </c>
      <c r="D17" s="9">
        <f>+D18/D16*10</f>
        <v>55.50002767170292</v>
      </c>
      <c r="E17" s="9">
        <f>+E18/E16*10</f>
        <v>54.3</v>
      </c>
      <c r="F17" s="9">
        <f>+F18/F16*10</f>
        <v>56.9265344964314</v>
      </c>
      <c r="G17" s="9">
        <f>+(G18/G16)*10</f>
        <v>53.3</v>
      </c>
      <c r="H17" s="11">
        <f>G17/D17</f>
        <v>0.9603598815352552</v>
      </c>
      <c r="I17" s="11">
        <f>+G17/E17</f>
        <v>0.9815837937384899</v>
      </c>
      <c r="J17" s="91"/>
      <c r="K17" s="92"/>
      <c r="L17" s="92"/>
      <c r="M17" s="92"/>
    </row>
    <row r="18" spans="1:13" ht="15">
      <c r="A18" s="22"/>
      <c r="B18" s="26" t="s">
        <v>23</v>
      </c>
      <c r="C18" s="7" t="s">
        <v>24</v>
      </c>
      <c r="D18" s="10">
        <v>100283</v>
      </c>
      <c r="E18" s="10">
        <v>439830</v>
      </c>
      <c r="F18" s="10">
        <f>+G18-8123</f>
        <v>71784.36</v>
      </c>
      <c r="G18" s="10">
        <f>+G16*5.33</f>
        <v>79907.36</v>
      </c>
      <c r="H18" s="11">
        <f>G18/D18</f>
        <v>0.7968186033525124</v>
      </c>
      <c r="I18" s="11">
        <f>+G18/E18</f>
        <v>0.18167783007070915</v>
      </c>
      <c r="J18" s="91"/>
      <c r="K18" s="92"/>
      <c r="L18" s="92"/>
      <c r="M18" s="92"/>
    </row>
    <row r="19" spans="1:13" ht="15">
      <c r="A19" s="22"/>
      <c r="B19" s="23" t="s">
        <v>19</v>
      </c>
      <c r="C19" s="24"/>
      <c r="D19" s="10"/>
      <c r="E19" s="21"/>
      <c r="F19" s="21"/>
      <c r="G19" s="50"/>
      <c r="H19" s="73"/>
      <c r="I19" s="11"/>
      <c r="J19" s="91"/>
      <c r="K19" s="92"/>
      <c r="L19" s="92"/>
      <c r="M19" s="92"/>
    </row>
    <row r="20" spans="1:13" ht="15">
      <c r="A20" s="22"/>
      <c r="B20" s="26" t="s">
        <v>20</v>
      </c>
      <c r="C20" s="7" t="s">
        <v>15</v>
      </c>
      <c r="D20" s="10">
        <v>12436</v>
      </c>
      <c r="E20" s="74">
        <v>89500</v>
      </c>
      <c r="F20" s="74">
        <f>+G20</f>
        <v>8015</v>
      </c>
      <c r="G20" s="75">
        <v>8015</v>
      </c>
      <c r="H20" s="11">
        <f>G20/D20</f>
        <v>0.6444998391765842</v>
      </c>
      <c r="I20" s="11">
        <f>+G20/E20</f>
        <v>0.08955307262569832</v>
      </c>
      <c r="J20" s="91"/>
      <c r="K20" s="92"/>
      <c r="L20" s="92"/>
      <c r="M20" s="92"/>
    </row>
    <row r="21" spans="1:13" ht="15">
      <c r="A21" s="22"/>
      <c r="B21" s="26" t="s">
        <v>21</v>
      </c>
      <c r="C21" s="5" t="s">
        <v>22</v>
      </c>
      <c r="D21" s="10"/>
      <c r="E21" s="9">
        <f>+E22/E20*10</f>
        <v>52</v>
      </c>
      <c r="F21" s="9"/>
      <c r="G21" s="9"/>
      <c r="H21" s="11"/>
      <c r="I21" s="11">
        <f>+G21/E21</f>
        <v>0</v>
      </c>
      <c r="J21" s="91"/>
      <c r="K21" s="92"/>
      <c r="L21" s="92"/>
      <c r="M21" s="92"/>
    </row>
    <row r="22" spans="1:13" ht="15">
      <c r="A22" s="22"/>
      <c r="B22" s="26" t="s">
        <v>23</v>
      </c>
      <c r="C22" s="7" t="s">
        <v>24</v>
      </c>
      <c r="D22" s="71"/>
      <c r="E22" s="10">
        <v>465400</v>
      </c>
      <c r="F22" s="10"/>
      <c r="G22" s="75"/>
      <c r="H22" s="11"/>
      <c r="I22" s="11">
        <f>+G22/E22</f>
        <v>0</v>
      </c>
      <c r="J22" s="91"/>
      <c r="K22" s="92"/>
      <c r="L22" s="92"/>
      <c r="M22" s="92"/>
    </row>
    <row r="23" spans="1:13" ht="15">
      <c r="A23" s="28"/>
      <c r="B23" s="29" t="s">
        <v>29</v>
      </c>
      <c r="C23" s="5" t="s">
        <v>15</v>
      </c>
      <c r="D23" s="77"/>
      <c r="E23" s="12"/>
      <c r="F23" s="12"/>
      <c r="G23" s="71"/>
      <c r="H23" s="6"/>
      <c r="I23" s="6"/>
      <c r="J23" s="91"/>
      <c r="K23" s="92"/>
      <c r="L23" s="92"/>
      <c r="M23" s="92"/>
    </row>
    <row r="24" spans="1:13" ht="15">
      <c r="A24" s="28"/>
      <c r="B24" s="29" t="s">
        <v>30</v>
      </c>
      <c r="C24" s="5" t="s">
        <v>15</v>
      </c>
      <c r="D24" s="12">
        <f>+D27+D31+D45+D56</f>
        <v>39193.71</v>
      </c>
      <c r="E24" s="12">
        <f>+E27+E31+E45+E56</f>
        <v>55580</v>
      </c>
      <c r="F24" s="12">
        <f>+F27+F31+F45+F56</f>
        <v>2988</v>
      </c>
      <c r="G24" s="12">
        <f>+G27+G31+G45+G56</f>
        <v>39483</v>
      </c>
      <c r="H24" s="6">
        <f>G24/D24</f>
        <v>1.0073810312930316</v>
      </c>
      <c r="I24" s="6">
        <f>+G24/E24</f>
        <v>0.7103814321698453</v>
      </c>
      <c r="J24" s="91"/>
      <c r="K24" s="92"/>
      <c r="L24" s="92"/>
      <c r="M24" s="92"/>
    </row>
    <row r="25" spans="1:13" ht="15">
      <c r="A25" s="28"/>
      <c r="B25" s="29" t="s">
        <v>31</v>
      </c>
      <c r="C25" s="5" t="s">
        <v>15</v>
      </c>
      <c r="D25" s="12">
        <f>+D28+D34+D39+D44+D48+D53+D59+D65+D70+D75</f>
        <v>29459.5</v>
      </c>
      <c r="E25" s="12">
        <f>+E28+E34+E39+E44+E48+E53+E59+E65+E70+E75</f>
        <v>53780</v>
      </c>
      <c r="F25" s="12">
        <f>+F28+F34+F39+F44+F48+F53+F59+F65+F70+F75</f>
        <v>3567.5800000000004</v>
      </c>
      <c r="G25" s="12">
        <f>+G28+G34+G39+G44+G48+G53+G59+G65+G70+G75</f>
        <v>31307.010000000002</v>
      </c>
      <c r="H25" s="6">
        <f>G25/D25</f>
        <v>1.0627135558987764</v>
      </c>
      <c r="I25" s="6">
        <f>+G25/E25</f>
        <v>0.5821310896243957</v>
      </c>
      <c r="J25" s="93"/>
      <c r="K25" s="93"/>
      <c r="L25" s="92"/>
      <c r="M25" s="92"/>
    </row>
    <row r="26" spans="1:13" ht="15">
      <c r="A26" s="28"/>
      <c r="B26" s="14" t="s">
        <v>32</v>
      </c>
      <c r="C26" s="5"/>
      <c r="D26" s="9"/>
      <c r="E26" s="17"/>
      <c r="F26" s="17"/>
      <c r="G26" s="17"/>
      <c r="H26" s="6"/>
      <c r="I26" s="6"/>
      <c r="J26" s="93"/>
      <c r="K26" s="92"/>
      <c r="L26" s="92"/>
      <c r="M26" s="92"/>
    </row>
    <row r="27" spans="1:13" ht="15">
      <c r="A27" s="28"/>
      <c r="B27" s="30" t="s">
        <v>33</v>
      </c>
      <c r="C27" s="5" t="s">
        <v>15</v>
      </c>
      <c r="D27" s="10">
        <v>3640.72</v>
      </c>
      <c r="E27" s="74">
        <v>5800</v>
      </c>
      <c r="F27" s="74">
        <f>G27-3631</f>
        <v>11</v>
      </c>
      <c r="G27" s="76">
        <f>3642</f>
        <v>3642</v>
      </c>
      <c r="H27" s="11">
        <f>G27/D27</f>
        <v>1.0003515788085873</v>
      </c>
      <c r="I27" s="11">
        <f>+G27/E27</f>
        <v>0.6279310344827587</v>
      </c>
      <c r="J27" s="93"/>
      <c r="K27" s="92"/>
      <c r="L27" s="92"/>
      <c r="M27" s="92"/>
    </row>
    <row r="28" spans="1:13" ht="15">
      <c r="A28" s="28"/>
      <c r="B28" s="30" t="s">
        <v>34</v>
      </c>
      <c r="C28" s="32" t="s">
        <v>35</v>
      </c>
      <c r="D28" s="33">
        <v>3027</v>
      </c>
      <c r="E28" s="33">
        <f>+E27</f>
        <v>5800</v>
      </c>
      <c r="F28" s="98">
        <f>+G28-2867.55</f>
        <v>30</v>
      </c>
      <c r="G28" s="99">
        <f>2867.55+30</f>
        <v>2897.55</v>
      </c>
      <c r="H28" s="11">
        <f>G28/D28</f>
        <v>0.9572348860257681</v>
      </c>
      <c r="I28" s="11">
        <f>+G28/E28</f>
        <v>0.4995775862068966</v>
      </c>
      <c r="J28" s="93"/>
      <c r="K28" s="92"/>
      <c r="L28" s="92"/>
      <c r="M28" s="92"/>
    </row>
    <row r="29" spans="1:13" ht="15">
      <c r="A29" s="28"/>
      <c r="B29" s="30" t="s">
        <v>21</v>
      </c>
      <c r="C29" s="5" t="s">
        <v>22</v>
      </c>
      <c r="D29" s="9">
        <f>+D30/D28*10</f>
        <v>54.661380905186654</v>
      </c>
      <c r="E29" s="77">
        <f>+E30/E28*10</f>
        <v>38.793103448275865</v>
      </c>
      <c r="F29" s="100">
        <f>+F30/F28*10</f>
        <v>47.240333333333794</v>
      </c>
      <c r="G29" s="101">
        <f>+(G30/G28)*10</f>
        <v>54.2</v>
      </c>
      <c r="H29" s="11">
        <f>G29/D29</f>
        <v>0.9915592892542004</v>
      </c>
      <c r="I29" s="11">
        <f>+G29/E29</f>
        <v>1.3971555555555555</v>
      </c>
      <c r="J29" s="93"/>
      <c r="K29" s="92"/>
      <c r="L29" s="92"/>
      <c r="M29" s="92"/>
    </row>
    <row r="30" spans="1:13" ht="15">
      <c r="A30" s="28"/>
      <c r="B30" s="34" t="s">
        <v>36</v>
      </c>
      <c r="C30" s="5" t="s">
        <v>37</v>
      </c>
      <c r="D30" s="33">
        <v>16546</v>
      </c>
      <c r="E30" s="33">
        <v>22500</v>
      </c>
      <c r="F30" s="98">
        <f>+G30-15563</f>
        <v>141.72100000000137</v>
      </c>
      <c r="G30" s="102">
        <f>+G28*5.42</f>
        <v>15704.721000000001</v>
      </c>
      <c r="H30" s="11">
        <f>G30/D30</f>
        <v>0.9491551432370362</v>
      </c>
      <c r="I30" s="11">
        <f>+G30/E30</f>
        <v>0.6979876</v>
      </c>
      <c r="J30" s="93"/>
      <c r="K30" s="92"/>
      <c r="L30" s="92"/>
      <c r="M30" s="92"/>
    </row>
    <row r="31" spans="1:13" ht="15">
      <c r="A31" s="28" t="s">
        <v>38</v>
      </c>
      <c r="B31" s="14" t="s">
        <v>39</v>
      </c>
      <c r="C31" s="35" t="s">
        <v>15</v>
      </c>
      <c r="D31" s="78">
        <f>D33+D38+D43</f>
        <v>2183.42</v>
      </c>
      <c r="E31" s="78">
        <f>E33+E38+E43</f>
        <v>3650</v>
      </c>
      <c r="F31" s="78">
        <f>F33+F38+F43</f>
        <v>141</v>
      </c>
      <c r="G31" s="78">
        <f>G33+G38+G43</f>
        <v>2047</v>
      </c>
      <c r="H31" s="6">
        <f>G31/D31</f>
        <v>0.9375200373725623</v>
      </c>
      <c r="I31" s="6">
        <f>+G31/E31</f>
        <v>0.5608219178082192</v>
      </c>
      <c r="J31" s="93"/>
      <c r="K31" s="92"/>
      <c r="L31" s="92"/>
      <c r="M31" s="92"/>
    </row>
    <row r="32" spans="1:13" ht="15">
      <c r="A32" s="28"/>
      <c r="B32" s="14" t="s">
        <v>40</v>
      </c>
      <c r="C32" s="5"/>
      <c r="D32" s="82"/>
      <c r="E32" s="79"/>
      <c r="F32" s="79"/>
      <c r="G32" s="80"/>
      <c r="H32" s="6"/>
      <c r="I32" s="6"/>
      <c r="J32" s="93"/>
      <c r="K32" s="92"/>
      <c r="L32" s="92"/>
      <c r="M32" s="92"/>
    </row>
    <row r="33" spans="1:13" ht="15">
      <c r="A33" s="28"/>
      <c r="B33" s="30" t="s">
        <v>41</v>
      </c>
      <c r="C33" s="5" t="s">
        <v>15</v>
      </c>
      <c r="D33" s="111">
        <v>1128</v>
      </c>
      <c r="E33" s="74">
        <v>1850</v>
      </c>
      <c r="F33" s="74">
        <f>G33-983</f>
        <v>90</v>
      </c>
      <c r="G33" s="9">
        <v>1073</v>
      </c>
      <c r="H33" s="11">
        <f>G33/D33</f>
        <v>0.9512411347517731</v>
      </c>
      <c r="I33" s="11">
        <f>+G33/E33</f>
        <v>0.58</v>
      </c>
      <c r="J33" s="93"/>
      <c r="K33" s="92"/>
      <c r="L33" s="92"/>
      <c r="M33" s="92"/>
    </row>
    <row r="34" spans="1:13" ht="15">
      <c r="A34" s="28"/>
      <c r="B34" s="30" t="s">
        <v>42</v>
      </c>
      <c r="C34" s="32" t="s">
        <v>35</v>
      </c>
      <c r="D34" s="79">
        <v>787</v>
      </c>
      <c r="E34" s="33">
        <f>+E33</f>
        <v>1850</v>
      </c>
      <c r="F34" s="98">
        <f>+G34-699</f>
        <v>10.700000000000045</v>
      </c>
      <c r="G34" s="103">
        <f>698.7+11</f>
        <v>709.7</v>
      </c>
      <c r="H34" s="11">
        <f>G34/D34</f>
        <v>0.9017789072426938</v>
      </c>
      <c r="I34" s="11">
        <f>+G34/E34</f>
        <v>0.38362162162162167</v>
      </c>
      <c r="J34" s="93"/>
      <c r="K34" s="92"/>
      <c r="L34" s="92"/>
      <c r="M34" s="92"/>
    </row>
    <row r="35" spans="1:13" ht="15">
      <c r="A35" s="28"/>
      <c r="B35" s="30" t="s">
        <v>43</v>
      </c>
      <c r="C35" s="5" t="s">
        <v>22</v>
      </c>
      <c r="D35" s="33">
        <v>20093.74</v>
      </c>
      <c r="E35" s="77">
        <f>+E36/E34*10</f>
        <v>148.7027027027027</v>
      </c>
      <c r="F35" s="102">
        <f>+(F36/F34)*10</f>
        <v>152.33644859813018</v>
      </c>
      <c r="G35" s="101">
        <f>+(G36/G34)*10</f>
        <v>167.56375933493024</v>
      </c>
      <c r="H35" s="11">
        <f>G35/D35</f>
        <v>0.008339102592893619</v>
      </c>
      <c r="I35" s="11">
        <f>+G35/E35</f>
        <v>1.126837349217088</v>
      </c>
      <c r="J35" s="93"/>
      <c r="K35" s="92"/>
      <c r="L35" s="92"/>
      <c r="M35" s="92"/>
    </row>
    <row r="36" spans="1:13" ht="15">
      <c r="A36" s="28"/>
      <c r="B36" s="36" t="s">
        <v>44</v>
      </c>
      <c r="C36" s="5" t="s">
        <v>37</v>
      </c>
      <c r="D36" s="33">
        <v>13302</v>
      </c>
      <c r="E36" s="81">
        <v>27510</v>
      </c>
      <c r="F36" s="104">
        <v>163</v>
      </c>
      <c r="G36" s="102">
        <f>11729+163</f>
        <v>11892</v>
      </c>
      <c r="H36" s="11">
        <f>G36/D36</f>
        <v>0.894000902119982</v>
      </c>
      <c r="I36" s="11">
        <f>+G36/E36</f>
        <v>0.43227917121046894</v>
      </c>
      <c r="J36" s="93"/>
      <c r="K36" s="92"/>
      <c r="L36" s="92"/>
      <c r="M36" s="92"/>
    </row>
    <row r="37" spans="1:13" ht="15">
      <c r="A37" s="28"/>
      <c r="B37" s="14" t="s">
        <v>45</v>
      </c>
      <c r="C37" s="5"/>
      <c r="D37" s="9"/>
      <c r="E37" s="79"/>
      <c r="F37" s="79"/>
      <c r="G37" s="9"/>
      <c r="H37" s="6"/>
      <c r="I37" s="6"/>
      <c r="J37" s="93"/>
      <c r="K37" s="92"/>
      <c r="L37" s="92"/>
      <c r="M37" s="92"/>
    </row>
    <row r="38" spans="1:13" ht="15">
      <c r="A38" s="28"/>
      <c r="B38" s="30" t="s">
        <v>41</v>
      </c>
      <c r="C38" s="5" t="s">
        <v>15</v>
      </c>
      <c r="D38" s="33">
        <v>652.42</v>
      </c>
      <c r="E38" s="74">
        <v>1100</v>
      </c>
      <c r="F38" s="74">
        <f>G38-571</f>
        <v>45</v>
      </c>
      <c r="G38" s="9">
        <v>616</v>
      </c>
      <c r="H38" s="11">
        <f>G38/D38</f>
        <v>0.9441770638545722</v>
      </c>
      <c r="I38" s="11">
        <f>+G38/E38</f>
        <v>0.56</v>
      </c>
      <c r="J38" s="93"/>
      <c r="K38" s="92"/>
      <c r="L38" s="92"/>
      <c r="M38" s="92"/>
    </row>
    <row r="39" spans="1:13" ht="15">
      <c r="A39" s="28"/>
      <c r="B39" s="30" t="s">
        <v>42</v>
      </c>
      <c r="C39" s="32" t="s">
        <v>35</v>
      </c>
      <c r="D39" s="33">
        <v>417</v>
      </c>
      <c r="E39" s="33">
        <f>+E38</f>
        <v>1100</v>
      </c>
      <c r="F39" s="98">
        <f>+G39-375</f>
        <v>7.410000000000025</v>
      </c>
      <c r="G39" s="102">
        <f>375.41+7</f>
        <v>382.41</v>
      </c>
      <c r="H39" s="11">
        <f>G39/D39</f>
        <v>0.9170503597122303</v>
      </c>
      <c r="I39" s="11">
        <f>+G39/E39</f>
        <v>0.3476454545454546</v>
      </c>
      <c r="J39" s="93"/>
      <c r="K39" s="92"/>
      <c r="L39" s="92"/>
      <c r="M39" s="92"/>
    </row>
    <row r="40" spans="1:13" ht="15">
      <c r="A40" s="28"/>
      <c r="B40" s="30" t="s">
        <v>43</v>
      </c>
      <c r="C40" s="5" t="s">
        <v>22</v>
      </c>
      <c r="D40" s="33">
        <f>+D41/D39*10</f>
        <v>162</v>
      </c>
      <c r="E40" s="33">
        <f>+E41/E39*10</f>
        <v>138</v>
      </c>
      <c r="F40" s="101">
        <f>+(F41/F39)*10</f>
        <v>144.3994601889334</v>
      </c>
      <c r="G40" s="101">
        <f>+(G41/G39)*10</f>
        <v>156.82121283439238</v>
      </c>
      <c r="H40" s="11">
        <f>G40/D40</f>
        <v>0.9680321779900765</v>
      </c>
      <c r="I40" s="11">
        <f>+G40/E40</f>
        <v>1.13638560024922</v>
      </c>
      <c r="J40" s="93"/>
      <c r="K40" s="92"/>
      <c r="L40" s="92"/>
      <c r="M40" s="92"/>
    </row>
    <row r="41" spans="1:13" ht="15">
      <c r="A41" s="28"/>
      <c r="B41" s="36" t="s">
        <v>44</v>
      </c>
      <c r="C41" s="5" t="s">
        <v>37</v>
      </c>
      <c r="D41" s="33">
        <v>6755.4</v>
      </c>
      <c r="E41" s="79">
        <v>15180</v>
      </c>
      <c r="F41" s="105">
        <v>107</v>
      </c>
      <c r="G41" s="102">
        <f>5890+107</f>
        <v>5997</v>
      </c>
      <c r="H41" s="11">
        <f>G41/D41</f>
        <v>0.8877342570388135</v>
      </c>
      <c r="I41" s="11">
        <f>+G41/E41</f>
        <v>0.3950592885375494</v>
      </c>
      <c r="J41" s="93"/>
      <c r="K41" s="92"/>
      <c r="L41" s="92"/>
      <c r="M41" s="92"/>
    </row>
    <row r="42" spans="1:13" ht="15">
      <c r="A42" s="28"/>
      <c r="B42" s="14" t="s">
        <v>46</v>
      </c>
      <c r="C42" s="5"/>
      <c r="D42" s="112"/>
      <c r="E42" s="79"/>
      <c r="F42" s="79"/>
      <c r="G42" s="37"/>
      <c r="H42" s="6"/>
      <c r="I42" s="6"/>
      <c r="J42" s="93"/>
      <c r="K42" s="92"/>
      <c r="L42" s="92"/>
      <c r="M42" s="92"/>
    </row>
    <row r="43" spans="1:13" ht="15">
      <c r="A43" s="28"/>
      <c r="B43" s="30" t="s">
        <v>41</v>
      </c>
      <c r="C43" s="5" t="s">
        <v>15</v>
      </c>
      <c r="D43" s="33">
        <v>403</v>
      </c>
      <c r="E43" s="76">
        <v>700</v>
      </c>
      <c r="F43" s="76">
        <f>G43-352</f>
        <v>6</v>
      </c>
      <c r="G43" s="82">
        <v>358</v>
      </c>
      <c r="H43" s="11">
        <f aca="true" t="shared" si="0" ref="H43:H56">G43/D43</f>
        <v>0.8883374689826302</v>
      </c>
      <c r="I43" s="11">
        <f aca="true" t="shared" si="1" ref="I43:I56">+G43/E43</f>
        <v>0.5114285714285715</v>
      </c>
      <c r="J43" s="93"/>
      <c r="K43" s="92"/>
      <c r="L43" s="92"/>
      <c r="M43" s="92"/>
    </row>
    <row r="44" spans="1:13" ht="15">
      <c r="A44" s="28"/>
      <c r="B44" s="30" t="s">
        <v>42</v>
      </c>
      <c r="C44" s="32" t="s">
        <v>35</v>
      </c>
      <c r="D44" s="79">
        <v>302</v>
      </c>
      <c r="E44" s="83">
        <f>+E43</f>
        <v>700</v>
      </c>
      <c r="F44" s="83">
        <f>+G44-358</f>
        <v>0</v>
      </c>
      <c r="G44" s="82">
        <f>+G43</f>
        <v>358</v>
      </c>
      <c r="H44" s="11">
        <f t="shared" si="0"/>
        <v>1.185430463576159</v>
      </c>
      <c r="I44" s="11">
        <f t="shared" si="1"/>
        <v>0.5114285714285715</v>
      </c>
      <c r="J44" s="93"/>
      <c r="K44" s="92"/>
      <c r="L44" s="92"/>
      <c r="M44" s="92"/>
    </row>
    <row r="45" spans="1:13" ht="15">
      <c r="A45" s="28" t="s">
        <v>47</v>
      </c>
      <c r="B45" s="14" t="s">
        <v>48</v>
      </c>
      <c r="C45" s="5" t="s">
        <v>15</v>
      </c>
      <c r="D45" s="78">
        <f>+D47+D52</f>
        <v>20684.7</v>
      </c>
      <c r="E45" s="78">
        <f>+E47+E52</f>
        <v>31100</v>
      </c>
      <c r="F45" s="78">
        <f>+F47+F52</f>
        <v>2224</v>
      </c>
      <c r="G45" s="78">
        <f>+G47+G52</f>
        <v>20334</v>
      </c>
      <c r="H45" s="6">
        <f t="shared" si="0"/>
        <v>0.9830454393827321</v>
      </c>
      <c r="I45" s="6">
        <f t="shared" si="1"/>
        <v>0.6538263665594856</v>
      </c>
      <c r="J45" s="93"/>
      <c r="K45" s="92"/>
      <c r="L45" s="92"/>
      <c r="M45" s="92"/>
    </row>
    <row r="46" spans="1:13" ht="15">
      <c r="A46" s="28"/>
      <c r="B46" s="14" t="s">
        <v>49</v>
      </c>
      <c r="C46" s="5"/>
      <c r="D46" s="82"/>
      <c r="E46" s="78"/>
      <c r="F46" s="78"/>
      <c r="G46" s="78"/>
      <c r="H46" s="6"/>
      <c r="I46" s="6"/>
      <c r="J46" s="93"/>
      <c r="K46" s="92"/>
      <c r="L46" s="92"/>
      <c r="M46" s="92"/>
    </row>
    <row r="47" spans="1:13" ht="15">
      <c r="A47" s="28"/>
      <c r="B47" s="8" t="s">
        <v>50</v>
      </c>
      <c r="C47" s="5" t="s">
        <v>15</v>
      </c>
      <c r="D47" s="82">
        <v>20093.7</v>
      </c>
      <c r="E47" s="10">
        <v>30000</v>
      </c>
      <c r="F47" s="10">
        <f>G47-17351</f>
        <v>2202</v>
      </c>
      <c r="G47" s="33">
        <v>19553</v>
      </c>
      <c r="H47" s="11">
        <f t="shared" si="0"/>
        <v>0.9730910683448045</v>
      </c>
      <c r="I47" s="11">
        <f t="shared" si="1"/>
        <v>0.6517666666666667</v>
      </c>
      <c r="J47" s="93"/>
      <c r="K47" s="92"/>
      <c r="L47" s="92"/>
      <c r="M47" s="92"/>
    </row>
    <row r="48" spans="1:13" ht="15">
      <c r="A48" s="28"/>
      <c r="B48" s="30" t="s">
        <v>42</v>
      </c>
      <c r="C48" s="32" t="s">
        <v>35</v>
      </c>
      <c r="D48" s="77">
        <v>14211.5</v>
      </c>
      <c r="E48" s="10">
        <f>+E47</f>
        <v>30000</v>
      </c>
      <c r="F48" s="10">
        <f>+G48-12444</f>
        <v>3264.6000000000004</v>
      </c>
      <c r="G48" s="33">
        <f>12443.6+3265</f>
        <v>15708.6</v>
      </c>
      <c r="H48" s="11">
        <f t="shared" si="0"/>
        <v>1.1053442634486157</v>
      </c>
      <c r="I48" s="11">
        <f t="shared" si="1"/>
        <v>0.52362</v>
      </c>
      <c r="J48" s="93"/>
      <c r="K48" s="92"/>
      <c r="L48" s="92"/>
      <c r="M48" s="92"/>
    </row>
    <row r="49" spans="1:13" ht="15">
      <c r="A49" s="28"/>
      <c r="B49" s="30" t="s">
        <v>43</v>
      </c>
      <c r="C49" s="5" t="s">
        <v>22</v>
      </c>
      <c r="D49" s="10">
        <f>+D50/D48*10</f>
        <v>208.00056292439223</v>
      </c>
      <c r="E49" s="10">
        <f>+E50/E48*10</f>
        <v>206</v>
      </c>
      <c r="F49" s="10">
        <f>+F50/F48*10</f>
        <v>200.30631624088704</v>
      </c>
      <c r="G49" s="82">
        <f>+G50/G48*10</f>
        <v>205.43078313789897</v>
      </c>
      <c r="H49" s="11">
        <f t="shared" si="0"/>
        <v>0.9876453229243068</v>
      </c>
      <c r="I49" s="11">
        <f t="shared" si="1"/>
        <v>0.9972368113490241</v>
      </c>
      <c r="J49" s="93"/>
      <c r="K49" s="92"/>
      <c r="L49" s="92"/>
      <c r="M49" s="92"/>
    </row>
    <row r="50" spans="1:13" ht="15">
      <c r="A50" s="28"/>
      <c r="B50" s="36" t="s">
        <v>44</v>
      </c>
      <c r="C50" s="5" t="s">
        <v>37</v>
      </c>
      <c r="D50" s="33">
        <v>295600</v>
      </c>
      <c r="E50" s="10">
        <v>618000</v>
      </c>
      <c r="F50" s="10">
        <v>65392</v>
      </c>
      <c r="G50" s="33">
        <f>257411+65292</f>
        <v>322703</v>
      </c>
      <c r="H50" s="11">
        <f t="shared" si="0"/>
        <v>1.0916880920162382</v>
      </c>
      <c r="I50" s="11">
        <f t="shared" si="1"/>
        <v>0.5221731391585761</v>
      </c>
      <c r="J50" s="93"/>
      <c r="K50" s="92"/>
      <c r="L50" s="92"/>
      <c r="M50" s="92"/>
    </row>
    <row r="51" spans="1:13" ht="15">
      <c r="A51" s="28"/>
      <c r="B51" s="29" t="s">
        <v>51</v>
      </c>
      <c r="C51" s="5"/>
      <c r="D51" s="82"/>
      <c r="E51" s="10"/>
      <c r="F51" s="10"/>
      <c r="G51" s="33"/>
      <c r="H51" s="11"/>
      <c r="I51" s="11"/>
      <c r="J51" s="93"/>
      <c r="K51" s="92"/>
      <c r="L51" s="92"/>
      <c r="M51" s="92"/>
    </row>
    <row r="52" spans="1:13" ht="15">
      <c r="A52" s="28"/>
      <c r="B52" s="8" t="s">
        <v>50</v>
      </c>
      <c r="C52" s="5" t="s">
        <v>15</v>
      </c>
      <c r="D52" s="33">
        <v>591</v>
      </c>
      <c r="E52" s="10">
        <v>1100</v>
      </c>
      <c r="F52" s="10">
        <f>G52-759</f>
        <v>22</v>
      </c>
      <c r="G52" s="33">
        <v>781</v>
      </c>
      <c r="H52" s="11">
        <f t="shared" si="0"/>
        <v>1.3214890016920473</v>
      </c>
      <c r="I52" s="11">
        <f t="shared" si="1"/>
        <v>0.71</v>
      </c>
      <c r="J52" s="93"/>
      <c r="K52" s="92"/>
      <c r="L52" s="92"/>
      <c r="M52" s="92"/>
    </row>
    <row r="53" spans="1:13" ht="15">
      <c r="A53" s="28"/>
      <c r="B53" s="30" t="s">
        <v>42</v>
      </c>
      <c r="C53" s="32" t="s">
        <v>35</v>
      </c>
      <c r="D53" s="33">
        <v>477</v>
      </c>
      <c r="E53" s="10">
        <f>+E52</f>
        <v>1100</v>
      </c>
      <c r="F53" s="10">
        <f>+G53-456</f>
        <v>7.639999999999986</v>
      </c>
      <c r="G53" s="33">
        <f>455.64+8</f>
        <v>463.64</v>
      </c>
      <c r="H53" s="11">
        <f t="shared" si="0"/>
        <v>0.9719916142557652</v>
      </c>
      <c r="I53" s="11">
        <f t="shared" si="1"/>
        <v>0.4214909090909091</v>
      </c>
      <c r="J53" s="93"/>
      <c r="K53" s="92"/>
      <c r="L53" s="92"/>
      <c r="M53" s="92"/>
    </row>
    <row r="54" spans="1:13" ht="15">
      <c r="A54" s="28"/>
      <c r="B54" s="30" t="s">
        <v>43</v>
      </c>
      <c r="C54" s="5" t="s">
        <v>22</v>
      </c>
      <c r="D54" s="33">
        <f>+D55/D53*10</f>
        <v>13.941299790356394</v>
      </c>
      <c r="E54" s="10">
        <f>+E55/E53*10</f>
        <v>12</v>
      </c>
      <c r="F54" s="10">
        <f>+F55/F53*10</f>
        <v>120.41884816753948</v>
      </c>
      <c r="G54" s="82">
        <f>+G55/G53*10</f>
        <v>13.950263135191097</v>
      </c>
      <c r="H54" s="11">
        <f t="shared" si="0"/>
        <v>1.000642934659572</v>
      </c>
      <c r="I54" s="11">
        <f t="shared" si="1"/>
        <v>1.1625219279325913</v>
      </c>
      <c r="J54" s="93"/>
      <c r="K54" s="92"/>
      <c r="L54" s="92"/>
      <c r="M54" s="92"/>
    </row>
    <row r="55" spans="1:13" ht="15">
      <c r="A55" s="28"/>
      <c r="B55" s="36" t="s">
        <v>44</v>
      </c>
      <c r="C55" s="5" t="s">
        <v>37</v>
      </c>
      <c r="D55" s="33">
        <v>665</v>
      </c>
      <c r="E55" s="10">
        <v>1320</v>
      </c>
      <c r="F55" s="10">
        <v>92</v>
      </c>
      <c r="G55" s="33">
        <f>554.79+92</f>
        <v>646.79</v>
      </c>
      <c r="H55" s="11">
        <f t="shared" si="0"/>
        <v>0.9726165413533834</v>
      </c>
      <c r="I55" s="11">
        <f t="shared" si="1"/>
        <v>0.48999242424242423</v>
      </c>
      <c r="J55" s="93"/>
      <c r="K55" s="92"/>
      <c r="L55" s="92"/>
      <c r="M55" s="92"/>
    </row>
    <row r="56" spans="1:13" ht="15">
      <c r="A56" s="38" t="s">
        <v>52</v>
      </c>
      <c r="B56" s="14" t="s">
        <v>53</v>
      </c>
      <c r="C56" s="5" t="s">
        <v>54</v>
      </c>
      <c r="D56" s="78">
        <f>+D58+D63+D69+D73</f>
        <v>12684.87</v>
      </c>
      <c r="E56" s="78">
        <f>+E58+E63+E69+E73</f>
        <v>15030</v>
      </c>
      <c r="F56" s="78">
        <f>+F58+F63+F69+F73</f>
        <v>612</v>
      </c>
      <c r="G56" s="78">
        <f>+G58+G63+G69+G73</f>
        <v>13460</v>
      </c>
      <c r="H56" s="6">
        <f t="shared" si="0"/>
        <v>1.061106656985842</v>
      </c>
      <c r="I56" s="6">
        <f t="shared" si="1"/>
        <v>0.895542248835662</v>
      </c>
      <c r="J56" s="93"/>
      <c r="K56" s="92"/>
      <c r="L56" s="92"/>
      <c r="M56" s="92"/>
    </row>
    <row r="57" spans="1:13" ht="15">
      <c r="A57" s="28"/>
      <c r="B57" s="14" t="s">
        <v>55</v>
      </c>
      <c r="C57" s="35"/>
      <c r="D57" s="33"/>
      <c r="E57" s="84"/>
      <c r="F57" s="84"/>
      <c r="G57" s="84"/>
      <c r="H57" s="6"/>
      <c r="I57" s="6"/>
      <c r="J57" s="93"/>
      <c r="K57" s="92"/>
      <c r="L57" s="92"/>
      <c r="M57" s="92"/>
    </row>
    <row r="58" spans="1:13" ht="15">
      <c r="A58" s="28"/>
      <c r="B58" s="30" t="s">
        <v>41</v>
      </c>
      <c r="C58" s="5" t="s">
        <v>15</v>
      </c>
      <c r="D58" s="88">
        <v>4006.15</v>
      </c>
      <c r="E58" s="74">
        <v>4950</v>
      </c>
      <c r="F58" s="74">
        <f>G58-3985</f>
        <v>11</v>
      </c>
      <c r="G58" s="33">
        <f>3996</f>
        <v>3996</v>
      </c>
      <c r="H58" s="6">
        <f>G58/D58</f>
        <v>0.9974663954170463</v>
      </c>
      <c r="I58" s="6">
        <f>+G58/E58</f>
        <v>0.8072727272727273</v>
      </c>
      <c r="J58" s="93"/>
      <c r="K58" s="92"/>
      <c r="L58" s="92"/>
      <c r="M58" s="92"/>
    </row>
    <row r="59" spans="1:13" ht="15">
      <c r="A59" s="28"/>
      <c r="B59" s="30" t="s">
        <v>42</v>
      </c>
      <c r="C59" s="32" t="s">
        <v>35</v>
      </c>
      <c r="D59" s="77">
        <v>3480</v>
      </c>
      <c r="E59" s="33">
        <f>+E58</f>
        <v>4950</v>
      </c>
      <c r="F59" s="98">
        <f>+G59-3523</f>
        <v>110.67999999999984</v>
      </c>
      <c r="G59" s="102">
        <f>3522.68+111</f>
        <v>3633.68</v>
      </c>
      <c r="H59" s="11">
        <f>G59/D59</f>
        <v>1.04416091954023</v>
      </c>
      <c r="I59" s="11">
        <f>+G59/E59</f>
        <v>0.7340767676767677</v>
      </c>
      <c r="J59" s="93"/>
      <c r="K59" s="92"/>
      <c r="L59" s="92"/>
      <c r="M59" s="92"/>
    </row>
    <row r="60" spans="1:13" ht="15">
      <c r="A60" s="28"/>
      <c r="B60" s="30" t="s">
        <v>43</v>
      </c>
      <c r="C60" s="5" t="s">
        <v>22</v>
      </c>
      <c r="D60" s="88">
        <v>9187</v>
      </c>
      <c r="E60" s="77">
        <f>+E61/E59*10</f>
        <v>46.8</v>
      </c>
      <c r="F60" s="77">
        <f>+F61/F59*10</f>
        <v>51.680520419226674</v>
      </c>
      <c r="G60" s="101">
        <f>+(G61/G59)*10</f>
        <v>51.671198344378155</v>
      </c>
      <c r="H60" s="11">
        <f>G60/D60</f>
        <v>0.005624382099094172</v>
      </c>
      <c r="I60" s="11">
        <f>+G60/E60</f>
        <v>1.104085434708935</v>
      </c>
      <c r="J60" s="93"/>
      <c r="K60" s="92"/>
      <c r="L60" s="92"/>
      <c r="M60" s="92"/>
    </row>
    <row r="61" spans="1:13" ht="15">
      <c r="A61" s="28"/>
      <c r="B61" s="36" t="s">
        <v>44</v>
      </c>
      <c r="C61" s="5" t="s">
        <v>37</v>
      </c>
      <c r="D61" s="10">
        <v>16702</v>
      </c>
      <c r="E61" s="79">
        <v>23166</v>
      </c>
      <c r="F61" s="105">
        <v>572</v>
      </c>
      <c r="G61" s="102">
        <f>18203.66+572</f>
        <v>18775.66</v>
      </c>
      <c r="H61" s="11">
        <f>G61/D61</f>
        <v>1.1241563884564723</v>
      </c>
      <c r="I61" s="11">
        <f>+G61/E61</f>
        <v>0.8104834671501339</v>
      </c>
      <c r="J61" s="93"/>
      <c r="K61" s="92"/>
      <c r="L61" s="92"/>
      <c r="M61" s="92"/>
    </row>
    <row r="62" spans="1:13" ht="15">
      <c r="A62" s="28"/>
      <c r="B62" s="14" t="s">
        <v>56</v>
      </c>
      <c r="C62" s="5"/>
      <c r="D62" s="33"/>
      <c r="E62" s="79"/>
      <c r="F62" s="79"/>
      <c r="G62" s="82"/>
      <c r="H62" s="6"/>
      <c r="I62" s="6"/>
      <c r="J62" s="93"/>
      <c r="K62" s="92"/>
      <c r="L62" s="92"/>
      <c r="M62" s="92"/>
    </row>
    <row r="63" spans="1:13" ht="15">
      <c r="A63" s="28"/>
      <c r="B63" s="30" t="s">
        <v>57</v>
      </c>
      <c r="C63" s="5" t="s">
        <v>15</v>
      </c>
      <c r="D63" s="33">
        <v>6164.72</v>
      </c>
      <c r="E63" s="74">
        <v>6600</v>
      </c>
      <c r="F63" s="74">
        <f>G63-6036</f>
        <v>214</v>
      </c>
      <c r="G63" s="82">
        <f>6250</f>
        <v>6250</v>
      </c>
      <c r="H63" s="11">
        <f>G63/D63</f>
        <v>1.01383355610636</v>
      </c>
      <c r="I63" s="11">
        <f>+G63/E63</f>
        <v>0.946969696969697</v>
      </c>
      <c r="J63" s="93"/>
      <c r="K63" s="92"/>
      <c r="L63" s="92"/>
      <c r="M63" s="92"/>
    </row>
    <row r="64" spans="1:13" ht="15">
      <c r="A64" s="28"/>
      <c r="B64" s="8" t="s">
        <v>58</v>
      </c>
      <c r="C64" s="32" t="s">
        <v>35</v>
      </c>
      <c r="D64" s="41"/>
      <c r="E64" s="79"/>
      <c r="F64" s="79"/>
      <c r="G64" s="33"/>
      <c r="H64" s="11"/>
      <c r="I64" s="11"/>
      <c r="J64" s="93"/>
      <c r="K64" s="92"/>
      <c r="L64" s="92"/>
      <c r="M64" s="92"/>
    </row>
    <row r="65" spans="1:13" ht="15">
      <c r="A65" s="28"/>
      <c r="B65" s="30" t="s">
        <v>42</v>
      </c>
      <c r="C65" s="32" t="s">
        <v>35</v>
      </c>
      <c r="D65" s="33">
        <v>5511</v>
      </c>
      <c r="E65" s="33">
        <f>+E63</f>
        <v>6600</v>
      </c>
      <c r="F65" s="98">
        <f>+G65-5548</f>
        <v>74.55000000000018</v>
      </c>
      <c r="G65" s="102">
        <f>5547.55+75</f>
        <v>5622.55</v>
      </c>
      <c r="H65" s="11">
        <f>G65/D65</f>
        <v>1.0202413355107967</v>
      </c>
      <c r="I65" s="11">
        <f>+G65/E65</f>
        <v>0.8519015151515151</v>
      </c>
      <c r="J65" s="93"/>
      <c r="K65" s="92"/>
      <c r="L65" s="92"/>
      <c r="M65" s="92"/>
    </row>
    <row r="66" spans="1:13" ht="15">
      <c r="A66" s="28"/>
      <c r="B66" s="30" t="s">
        <v>59</v>
      </c>
      <c r="C66" s="5" t="s">
        <v>22</v>
      </c>
      <c r="D66" s="33">
        <f>+D67/D65*10</f>
        <v>1047.653783342406</v>
      </c>
      <c r="E66" s="33">
        <f>+E67/E65*10</f>
        <v>1060</v>
      </c>
      <c r="F66" s="33">
        <f>+F67/F65*10</f>
        <v>949.9664654594209</v>
      </c>
      <c r="G66" s="101">
        <f>(G67/G65)*10</f>
        <v>1077.1038052129372</v>
      </c>
      <c r="H66" s="11">
        <f>G66/D66</f>
        <v>1.0281104524593752</v>
      </c>
      <c r="I66" s="11">
        <f>+G66/E66</f>
        <v>1.0161356652952238</v>
      </c>
      <c r="J66" s="93"/>
      <c r="K66" s="92"/>
      <c r="L66" s="92"/>
      <c r="M66" s="92"/>
    </row>
    <row r="67" spans="1:13" ht="15">
      <c r="A67" s="28"/>
      <c r="B67" s="36" t="s">
        <v>44</v>
      </c>
      <c r="C67" s="5" t="s">
        <v>37</v>
      </c>
      <c r="D67" s="33">
        <v>577362</v>
      </c>
      <c r="E67" s="79">
        <v>699600</v>
      </c>
      <c r="F67" s="105">
        <v>7082</v>
      </c>
      <c r="G67" s="103">
        <f>598525+7082</f>
        <v>605607</v>
      </c>
      <c r="H67" s="11">
        <f>G67/D67</f>
        <v>1.048920781069762</v>
      </c>
      <c r="I67" s="11">
        <f>+G67/E67</f>
        <v>0.865647512864494</v>
      </c>
      <c r="J67" s="93"/>
      <c r="K67" s="92"/>
      <c r="L67" s="92"/>
      <c r="M67" s="92"/>
    </row>
    <row r="68" spans="1:13" ht="15">
      <c r="A68" s="28"/>
      <c r="B68" s="29" t="s">
        <v>60</v>
      </c>
      <c r="C68" s="5"/>
      <c r="D68" s="33"/>
      <c r="E68" s="79"/>
      <c r="F68" s="79"/>
      <c r="G68" s="33"/>
      <c r="H68" s="6"/>
      <c r="I68" s="6"/>
      <c r="J68" s="93"/>
      <c r="K68" s="92"/>
      <c r="L68" s="92"/>
      <c r="M68" s="92"/>
    </row>
    <row r="69" spans="1:13" ht="15">
      <c r="A69" s="28"/>
      <c r="B69" s="30" t="s">
        <v>41</v>
      </c>
      <c r="C69" s="5" t="s">
        <v>15</v>
      </c>
      <c r="D69" s="113">
        <v>1284</v>
      </c>
      <c r="E69" s="79">
        <v>1500</v>
      </c>
      <c r="F69" s="79">
        <f>G69-1452</f>
        <v>227</v>
      </c>
      <c r="G69" s="82">
        <v>1679</v>
      </c>
      <c r="H69" s="11">
        <f aca="true" t="shared" si="2" ref="H69:H74">G69/D69</f>
        <v>1.307632398753894</v>
      </c>
      <c r="I69" s="11">
        <f aca="true" t="shared" si="3" ref="I69:I75">+G69/E69</f>
        <v>1.1193333333333333</v>
      </c>
      <c r="J69" s="93"/>
      <c r="K69" s="92"/>
      <c r="L69" s="92"/>
      <c r="M69" s="92"/>
    </row>
    <row r="70" spans="1:13" ht="15">
      <c r="A70" s="28"/>
      <c r="B70" s="30" t="s">
        <v>42</v>
      </c>
      <c r="C70" s="32" t="s">
        <v>35</v>
      </c>
      <c r="D70" s="10">
        <v>1037</v>
      </c>
      <c r="E70" s="33">
        <f>+E69</f>
        <v>1500</v>
      </c>
      <c r="F70" s="33">
        <f>+G70-1320.88</f>
        <v>62</v>
      </c>
      <c r="G70" s="82">
        <f>1320.88+62</f>
        <v>1382.88</v>
      </c>
      <c r="H70" s="11">
        <f t="shared" si="2"/>
        <v>1.333539054966249</v>
      </c>
      <c r="I70" s="11">
        <f t="shared" si="3"/>
        <v>0.9219200000000001</v>
      </c>
      <c r="J70" s="93"/>
      <c r="K70" s="92"/>
      <c r="L70" s="92"/>
      <c r="M70" s="92"/>
    </row>
    <row r="71" spans="1:13" ht="15">
      <c r="A71" s="28"/>
      <c r="B71" s="30" t="s">
        <v>43</v>
      </c>
      <c r="C71" s="5" t="s">
        <v>22</v>
      </c>
      <c r="D71" s="77">
        <f>+D72/D70*10</f>
        <v>88.5920925747348</v>
      </c>
      <c r="E71" s="77">
        <f>+E72/E70*10</f>
        <v>100</v>
      </c>
      <c r="F71" s="77">
        <f>+F72/F70*10</f>
        <v>88.2258064516129</v>
      </c>
      <c r="G71" s="101">
        <v>88.8</v>
      </c>
      <c r="H71" s="11">
        <f t="shared" si="2"/>
        <v>1.002346794383368</v>
      </c>
      <c r="I71" s="11">
        <f t="shared" si="3"/>
        <v>0.888</v>
      </c>
      <c r="J71" s="93"/>
      <c r="K71" s="92"/>
      <c r="L71" s="92"/>
      <c r="M71" s="92"/>
    </row>
    <row r="72" spans="1:13" ht="15">
      <c r="A72" s="28"/>
      <c r="B72" s="36" t="s">
        <v>44</v>
      </c>
      <c r="C72" s="5" t="s">
        <v>37</v>
      </c>
      <c r="D72" s="25">
        <v>9187</v>
      </c>
      <c r="E72" s="79">
        <v>15000</v>
      </c>
      <c r="F72" s="105">
        <v>547</v>
      </c>
      <c r="G72" s="102">
        <f>14095+547</f>
        <v>14642</v>
      </c>
      <c r="H72" s="11">
        <f t="shared" si="2"/>
        <v>1.5937738108196364</v>
      </c>
      <c r="I72" s="11">
        <f t="shared" si="3"/>
        <v>0.9761333333333333</v>
      </c>
      <c r="J72" s="93"/>
      <c r="K72" s="92"/>
      <c r="L72" s="92"/>
      <c r="M72" s="92"/>
    </row>
    <row r="73" spans="1:13" ht="15">
      <c r="A73" s="28"/>
      <c r="B73" s="39" t="s">
        <v>61</v>
      </c>
      <c r="C73" s="17" t="s">
        <v>26</v>
      </c>
      <c r="D73" s="87">
        <f>+D74+D75</f>
        <v>1230</v>
      </c>
      <c r="E73" s="87">
        <f>+E74+E75</f>
        <v>1980</v>
      </c>
      <c r="F73" s="87">
        <f>+F74+F75</f>
        <v>160</v>
      </c>
      <c r="G73" s="87">
        <f>+G74+G75</f>
        <v>1535</v>
      </c>
      <c r="H73" s="11">
        <f t="shared" si="2"/>
        <v>1.2479674796747968</v>
      </c>
      <c r="I73" s="11">
        <f t="shared" si="3"/>
        <v>0.7752525252525253</v>
      </c>
      <c r="J73" s="93"/>
      <c r="K73" s="92"/>
      <c r="L73" s="92"/>
      <c r="M73" s="92"/>
    </row>
    <row r="74" spans="1:13" ht="15">
      <c r="A74" s="28"/>
      <c r="B74" s="40" t="s">
        <v>154</v>
      </c>
      <c r="C74" s="31" t="s">
        <v>26</v>
      </c>
      <c r="D74" s="25">
        <v>1020</v>
      </c>
      <c r="E74" s="10">
        <v>1800</v>
      </c>
      <c r="F74" s="10">
        <v>160</v>
      </c>
      <c r="G74" s="10">
        <v>1387</v>
      </c>
      <c r="H74" s="11">
        <f t="shared" si="2"/>
        <v>1.3598039215686275</v>
      </c>
      <c r="I74" s="11">
        <f t="shared" si="3"/>
        <v>0.7705555555555555</v>
      </c>
      <c r="J74" s="93"/>
      <c r="K74" s="92"/>
      <c r="L74" s="92"/>
      <c r="M74" s="92"/>
    </row>
    <row r="75" spans="1:13" ht="15">
      <c r="A75" s="28"/>
      <c r="B75" s="40" t="s">
        <v>155</v>
      </c>
      <c r="C75" s="31" t="s">
        <v>26</v>
      </c>
      <c r="D75" s="25">
        <v>210</v>
      </c>
      <c r="E75" s="10">
        <v>180</v>
      </c>
      <c r="F75" s="10"/>
      <c r="G75" s="10">
        <v>148</v>
      </c>
      <c r="H75" s="11">
        <f>G75/D75</f>
        <v>0.7047619047619048</v>
      </c>
      <c r="I75" s="11">
        <f t="shared" si="3"/>
        <v>0.8222222222222222</v>
      </c>
      <c r="J75" s="93"/>
      <c r="K75" s="92"/>
      <c r="L75" s="92"/>
      <c r="M75" s="92"/>
    </row>
    <row r="76" spans="1:13" ht="15">
      <c r="A76" s="38">
        <v>2</v>
      </c>
      <c r="B76" s="14" t="s">
        <v>62</v>
      </c>
      <c r="C76" s="5"/>
      <c r="D76" s="25"/>
      <c r="E76" s="8"/>
      <c r="F76" s="8"/>
      <c r="G76" s="41"/>
      <c r="H76" s="11"/>
      <c r="I76" s="11"/>
      <c r="J76" s="93"/>
      <c r="K76" s="92"/>
      <c r="L76" s="92"/>
      <c r="M76" s="92"/>
    </row>
    <row r="77" spans="1:13" ht="15">
      <c r="A77" s="38" t="s">
        <v>63</v>
      </c>
      <c r="B77" s="42" t="s">
        <v>64</v>
      </c>
      <c r="C77" s="43"/>
      <c r="D77" s="50"/>
      <c r="E77" s="85"/>
      <c r="F77" s="85"/>
      <c r="G77" s="85"/>
      <c r="H77" s="11"/>
      <c r="I77" s="11"/>
      <c r="J77" s="93"/>
      <c r="K77" s="92"/>
      <c r="L77" s="92"/>
      <c r="M77" s="92"/>
    </row>
    <row r="78" spans="1:13" ht="15">
      <c r="A78" s="44" t="s">
        <v>7</v>
      </c>
      <c r="B78" s="27" t="s">
        <v>65</v>
      </c>
      <c r="C78" s="7"/>
      <c r="D78" s="25"/>
      <c r="E78" s="25"/>
      <c r="F78" s="25"/>
      <c r="G78" s="33"/>
      <c r="H78" s="6"/>
      <c r="I78" s="6"/>
      <c r="J78" s="93"/>
      <c r="K78" s="92"/>
      <c r="L78" s="92"/>
      <c r="M78" s="92"/>
    </row>
    <row r="79" spans="1:13" ht="15">
      <c r="A79" s="44" t="s">
        <v>66</v>
      </c>
      <c r="B79" s="27" t="s">
        <v>67</v>
      </c>
      <c r="C79" s="7"/>
      <c r="D79" s="25"/>
      <c r="E79" s="25"/>
      <c r="F79" s="25"/>
      <c r="G79" s="33"/>
      <c r="H79" s="6"/>
      <c r="I79" s="6"/>
      <c r="J79" s="93"/>
      <c r="K79" s="92"/>
      <c r="L79" s="92"/>
      <c r="M79" s="92"/>
    </row>
    <row r="80" spans="1:13" ht="15">
      <c r="A80" s="44" t="s">
        <v>16</v>
      </c>
      <c r="B80" s="25" t="s">
        <v>68</v>
      </c>
      <c r="C80" s="7" t="s">
        <v>15</v>
      </c>
      <c r="D80" s="25">
        <v>46.67</v>
      </c>
      <c r="E80" s="25">
        <v>130</v>
      </c>
      <c r="F80" s="25"/>
      <c r="G80" s="88">
        <v>40.7</v>
      </c>
      <c r="H80" s="6"/>
      <c r="I80" s="6"/>
      <c r="J80" s="93"/>
      <c r="K80" s="92"/>
      <c r="L80" s="92"/>
      <c r="M80" s="92"/>
    </row>
    <row r="81" spans="1:13" ht="15">
      <c r="A81" s="45"/>
      <c r="B81" s="46" t="s">
        <v>69</v>
      </c>
      <c r="C81" s="7"/>
      <c r="D81" s="37"/>
      <c r="E81" s="25"/>
      <c r="F81" s="25"/>
      <c r="G81" s="12"/>
      <c r="H81" s="6"/>
      <c r="I81" s="6"/>
      <c r="J81" s="93"/>
      <c r="K81" s="92"/>
      <c r="L81" s="92"/>
      <c r="M81" s="92"/>
    </row>
    <row r="82" spans="1:13" ht="15">
      <c r="A82" s="45"/>
      <c r="B82" s="25" t="s">
        <v>70</v>
      </c>
      <c r="C82" s="5" t="s">
        <v>71</v>
      </c>
      <c r="D82" s="50">
        <f>+D80</f>
        <v>46.67</v>
      </c>
      <c r="E82" s="25">
        <f>+E80</f>
        <v>130</v>
      </c>
      <c r="F82" s="25"/>
      <c r="G82" s="25">
        <f>+G80</f>
        <v>40.7</v>
      </c>
      <c r="H82" s="6"/>
      <c r="I82" s="6"/>
      <c r="J82" s="93"/>
      <c r="K82" s="92"/>
      <c r="L82" s="92"/>
      <c r="M82" s="92"/>
    </row>
    <row r="83" spans="1:13" ht="15">
      <c r="A83" s="45"/>
      <c r="B83" s="47" t="s">
        <v>72</v>
      </c>
      <c r="C83" s="5" t="s">
        <v>71</v>
      </c>
      <c r="D83" s="50"/>
      <c r="E83" s="25"/>
      <c r="F83" s="25"/>
      <c r="G83" s="25"/>
      <c r="H83" s="6"/>
      <c r="I83" s="6"/>
      <c r="J83" s="93"/>
      <c r="K83" s="92"/>
      <c r="L83" s="92"/>
      <c r="M83" s="92"/>
    </row>
    <row r="84" spans="1:13" ht="15">
      <c r="A84" s="45"/>
      <c r="B84" s="25" t="s">
        <v>73</v>
      </c>
      <c r="C84" s="5" t="s">
        <v>71</v>
      </c>
      <c r="D84" s="21"/>
      <c r="E84" s="25"/>
      <c r="F84" s="25"/>
      <c r="G84" s="25"/>
      <c r="H84" s="6"/>
      <c r="I84" s="6"/>
      <c r="J84" s="93"/>
      <c r="K84" s="92"/>
      <c r="L84" s="92"/>
      <c r="M84" s="92"/>
    </row>
    <row r="85" spans="1:13" ht="15">
      <c r="A85" s="45"/>
      <c r="B85" s="36" t="s">
        <v>74</v>
      </c>
      <c r="C85" s="7" t="s">
        <v>15</v>
      </c>
      <c r="D85" s="88"/>
      <c r="E85" s="25"/>
      <c r="F85" s="25"/>
      <c r="G85" s="25"/>
      <c r="H85" s="6"/>
      <c r="I85" s="6"/>
      <c r="J85" s="93"/>
      <c r="K85" s="92"/>
      <c r="L85" s="92"/>
      <c r="M85" s="92"/>
    </row>
    <row r="86" spans="1:13" ht="15">
      <c r="A86" s="44" t="s">
        <v>38</v>
      </c>
      <c r="B86" s="25" t="s">
        <v>75</v>
      </c>
      <c r="C86" s="7" t="s">
        <v>15</v>
      </c>
      <c r="D86" s="82"/>
      <c r="E86" s="25">
        <v>314</v>
      </c>
      <c r="F86" s="25"/>
      <c r="G86" s="25"/>
      <c r="H86" s="6"/>
      <c r="I86" s="6"/>
      <c r="J86" s="93"/>
      <c r="K86" s="92"/>
      <c r="L86" s="92"/>
      <c r="M86" s="92"/>
    </row>
    <row r="87" spans="1:13" ht="15">
      <c r="A87" s="44" t="s">
        <v>47</v>
      </c>
      <c r="B87" s="25" t="s">
        <v>76</v>
      </c>
      <c r="C87" s="7" t="s">
        <v>15</v>
      </c>
      <c r="D87" s="50"/>
      <c r="E87" s="25">
        <v>65</v>
      </c>
      <c r="F87" s="25"/>
      <c r="G87" s="25"/>
      <c r="H87" s="6"/>
      <c r="I87" s="6"/>
      <c r="J87" s="93"/>
      <c r="K87" s="92"/>
      <c r="L87" s="92"/>
      <c r="M87" s="92"/>
    </row>
    <row r="88" spans="1:13" ht="15">
      <c r="A88" s="44" t="s">
        <v>77</v>
      </c>
      <c r="B88" s="25" t="s">
        <v>78</v>
      </c>
      <c r="C88" s="7" t="s">
        <v>15</v>
      </c>
      <c r="D88" s="82"/>
      <c r="E88" s="33">
        <v>4793</v>
      </c>
      <c r="F88" s="33"/>
      <c r="G88" s="25"/>
      <c r="H88" s="6"/>
      <c r="I88" s="6"/>
      <c r="J88" s="93"/>
      <c r="K88" s="92"/>
      <c r="L88" s="92"/>
      <c r="M88" s="92"/>
    </row>
    <row r="89" spans="1:13" ht="15">
      <c r="A89" s="44" t="s">
        <v>79</v>
      </c>
      <c r="B89" s="25" t="s">
        <v>80</v>
      </c>
      <c r="C89" s="7" t="s">
        <v>81</v>
      </c>
      <c r="D89" s="114">
        <v>54.88</v>
      </c>
      <c r="E89" s="33">
        <v>1000</v>
      </c>
      <c r="F89" s="33"/>
      <c r="G89" s="25"/>
      <c r="H89" s="6"/>
      <c r="I89" s="6"/>
      <c r="J89" s="93"/>
      <c r="K89" s="92"/>
      <c r="L89" s="92"/>
      <c r="M89" s="92"/>
    </row>
    <row r="90" spans="1:13" ht="15">
      <c r="A90" s="45" t="s">
        <v>82</v>
      </c>
      <c r="B90" s="42" t="s">
        <v>83</v>
      </c>
      <c r="C90" s="48"/>
      <c r="D90" s="115"/>
      <c r="E90" s="25"/>
      <c r="F90" s="25"/>
      <c r="G90" s="25"/>
      <c r="H90" s="6"/>
      <c r="I90" s="6"/>
      <c r="J90" s="93"/>
      <c r="K90" s="92"/>
      <c r="L90" s="92"/>
      <c r="M90" s="92"/>
    </row>
    <row r="91" spans="1:13" ht="18">
      <c r="A91" s="45"/>
      <c r="B91" s="25" t="s">
        <v>84</v>
      </c>
      <c r="C91" s="7" t="s">
        <v>85</v>
      </c>
      <c r="D91" s="115"/>
      <c r="E91" s="25"/>
      <c r="F91" s="25"/>
      <c r="G91" s="25"/>
      <c r="H91" s="6"/>
      <c r="I91" s="6"/>
      <c r="J91" s="93"/>
      <c r="K91" s="92"/>
      <c r="L91" s="92"/>
      <c r="M91" s="92"/>
    </row>
    <row r="92" spans="1:13" ht="15">
      <c r="A92" s="45"/>
      <c r="B92" s="25" t="s">
        <v>86</v>
      </c>
      <c r="C92" s="5" t="s">
        <v>71</v>
      </c>
      <c r="D92" s="115"/>
      <c r="E92" s="25"/>
      <c r="F92" s="25"/>
      <c r="G92" s="25"/>
      <c r="H92" s="6"/>
      <c r="I92" s="6"/>
      <c r="J92" s="93"/>
      <c r="K92" s="92"/>
      <c r="L92" s="92"/>
      <c r="M92" s="92"/>
    </row>
    <row r="93" spans="1:13" ht="15">
      <c r="A93" s="44" t="s">
        <v>8</v>
      </c>
      <c r="B93" s="49" t="s">
        <v>87</v>
      </c>
      <c r="C93" s="48"/>
      <c r="D93" s="115"/>
      <c r="E93" s="25"/>
      <c r="F93" s="25"/>
      <c r="G93" s="25"/>
      <c r="H93" s="6"/>
      <c r="I93" s="6"/>
      <c r="J93" s="93"/>
      <c r="K93" s="92"/>
      <c r="L93" s="92"/>
      <c r="M93" s="92"/>
    </row>
    <row r="94" spans="1:13" ht="15">
      <c r="A94" s="44" t="s">
        <v>88</v>
      </c>
      <c r="B94" s="27" t="s">
        <v>89</v>
      </c>
      <c r="C94" s="7"/>
      <c r="D94" s="115"/>
      <c r="E94" s="25"/>
      <c r="F94" s="25"/>
      <c r="G94" s="25"/>
      <c r="H94" s="6"/>
      <c r="I94" s="6"/>
      <c r="J94" s="93"/>
      <c r="K94" s="92"/>
      <c r="L94" s="92"/>
      <c r="M94" s="92"/>
    </row>
    <row r="95" spans="1:13" ht="15">
      <c r="A95" s="45" t="s">
        <v>66</v>
      </c>
      <c r="B95" s="42" t="s">
        <v>90</v>
      </c>
      <c r="C95" s="7" t="s">
        <v>15</v>
      </c>
      <c r="D95" s="86">
        <f>D96+D102</f>
        <v>49632.83</v>
      </c>
      <c r="E95" s="86">
        <f>E96+E102</f>
        <v>48000</v>
      </c>
      <c r="F95" s="86">
        <f>F96+F102</f>
        <v>6770.95</v>
      </c>
      <c r="G95" s="86">
        <f>G96+G102</f>
        <v>43820.95</v>
      </c>
      <c r="H95" s="6">
        <f>G95/D95</f>
        <v>0.8829025062645026</v>
      </c>
      <c r="I95" s="6">
        <f aca="true" t="shared" si="4" ref="I95:I100">+G95/E95</f>
        <v>0.9129364583333333</v>
      </c>
      <c r="J95" s="93"/>
      <c r="K95" s="92"/>
      <c r="L95" s="92"/>
      <c r="M95" s="92"/>
    </row>
    <row r="96" spans="1:13" ht="15">
      <c r="A96" s="44" t="s">
        <v>16</v>
      </c>
      <c r="B96" s="42" t="s">
        <v>91</v>
      </c>
      <c r="C96" s="5" t="s">
        <v>71</v>
      </c>
      <c r="D96" s="87">
        <f>D97+D99+D101</f>
        <v>3468.58</v>
      </c>
      <c r="E96" s="87">
        <f>E97+E99+E101</f>
        <v>12000</v>
      </c>
      <c r="F96" s="16">
        <f>F97+F99+F101</f>
        <v>793.9499999999998</v>
      </c>
      <c r="G96" s="16">
        <f>G97+G99+G101</f>
        <v>2153.95</v>
      </c>
      <c r="H96" s="6">
        <f aca="true" t="shared" si="5" ref="H96:H153">G96/D96</f>
        <v>0.620988992613692</v>
      </c>
      <c r="I96" s="6">
        <f t="shared" si="4"/>
        <v>0.17949583333333333</v>
      </c>
      <c r="J96" s="93"/>
      <c r="K96" s="92"/>
      <c r="L96" s="92"/>
      <c r="M96" s="92"/>
    </row>
    <row r="97" spans="1:13" ht="15">
      <c r="A97" s="45"/>
      <c r="B97" s="25" t="s">
        <v>92</v>
      </c>
      <c r="C97" s="5" t="s">
        <v>71</v>
      </c>
      <c r="D97" s="82">
        <v>3004.2</v>
      </c>
      <c r="E97" s="33">
        <v>10600</v>
      </c>
      <c r="F97" s="33">
        <f>G97-1260</f>
        <v>789.9499999999998</v>
      </c>
      <c r="G97" s="77">
        <f>2047+2.95</f>
        <v>2049.95</v>
      </c>
      <c r="H97" s="11">
        <f t="shared" si="5"/>
        <v>0.6823613607616004</v>
      </c>
      <c r="I97" s="11">
        <f t="shared" si="4"/>
        <v>0.19339150943396224</v>
      </c>
      <c r="J97" s="93"/>
      <c r="K97" s="92"/>
      <c r="L97" s="92"/>
      <c r="M97" s="92"/>
    </row>
    <row r="98" spans="1:13" ht="15">
      <c r="A98" s="45"/>
      <c r="B98" s="25" t="s">
        <v>93</v>
      </c>
      <c r="C98" s="5" t="s">
        <v>71</v>
      </c>
      <c r="D98" s="50">
        <v>78.7</v>
      </c>
      <c r="E98" s="33">
        <v>150</v>
      </c>
      <c r="F98" s="33">
        <f>G98-22</f>
        <v>0</v>
      </c>
      <c r="G98" s="25">
        <v>22</v>
      </c>
      <c r="H98" s="11">
        <f t="shared" si="5"/>
        <v>0.2795425667090216</v>
      </c>
      <c r="I98" s="11">
        <f t="shared" si="4"/>
        <v>0.14666666666666667</v>
      </c>
      <c r="J98" s="93"/>
      <c r="K98" s="92"/>
      <c r="L98" s="92"/>
      <c r="M98" s="92"/>
    </row>
    <row r="99" spans="1:13" ht="15">
      <c r="A99" s="45"/>
      <c r="B99" s="25" t="s">
        <v>94</v>
      </c>
      <c r="C99" s="5" t="s">
        <v>71</v>
      </c>
      <c r="D99" s="82">
        <f>D100</f>
        <v>464.38</v>
      </c>
      <c r="E99" s="33">
        <v>1300</v>
      </c>
      <c r="F99" s="33">
        <f>G99-70</f>
        <v>4</v>
      </c>
      <c r="G99" s="25">
        <f>G100</f>
        <v>74</v>
      </c>
      <c r="H99" s="11">
        <f t="shared" si="5"/>
        <v>0.15935225461906197</v>
      </c>
      <c r="I99" s="11">
        <f t="shared" si="4"/>
        <v>0.05692307692307692</v>
      </c>
      <c r="J99" s="93"/>
      <c r="K99" s="92"/>
      <c r="L99" s="92"/>
      <c r="M99" s="92"/>
    </row>
    <row r="100" spans="1:13" ht="15">
      <c r="A100" s="45"/>
      <c r="B100" s="25" t="s">
        <v>95</v>
      </c>
      <c r="C100" s="5" t="s">
        <v>71</v>
      </c>
      <c r="D100" s="50">
        <v>464.38</v>
      </c>
      <c r="E100" s="33">
        <f>+E99</f>
        <v>1300</v>
      </c>
      <c r="F100" s="33">
        <f>G100-70</f>
        <v>4</v>
      </c>
      <c r="G100" s="25">
        <v>74</v>
      </c>
      <c r="H100" s="11">
        <f t="shared" si="5"/>
        <v>0.15935225461906197</v>
      </c>
      <c r="I100" s="11">
        <f t="shared" si="4"/>
        <v>0.05692307692307692</v>
      </c>
      <c r="J100" s="93"/>
      <c r="K100" s="92"/>
      <c r="L100" s="92"/>
      <c r="M100" s="92"/>
    </row>
    <row r="101" spans="1:13" ht="15">
      <c r="A101" s="45"/>
      <c r="B101" s="25" t="s">
        <v>96</v>
      </c>
      <c r="C101" s="5" t="s">
        <v>71</v>
      </c>
      <c r="D101" s="115"/>
      <c r="E101" s="47">
        <v>100</v>
      </c>
      <c r="F101" s="47">
        <f>G101-30</f>
        <v>0</v>
      </c>
      <c r="G101" s="25">
        <v>30</v>
      </c>
      <c r="H101" s="11"/>
      <c r="I101" s="11"/>
      <c r="J101" s="93"/>
      <c r="K101" s="92"/>
      <c r="L101" s="92"/>
      <c r="M101" s="92"/>
    </row>
    <row r="102" spans="1:13" ht="15">
      <c r="A102" s="44" t="s">
        <v>38</v>
      </c>
      <c r="B102" s="42" t="s">
        <v>97</v>
      </c>
      <c r="C102" s="7" t="s">
        <v>15</v>
      </c>
      <c r="D102" s="87">
        <f>D103+D106+D110</f>
        <v>46164.25</v>
      </c>
      <c r="E102" s="87">
        <f>E103+E106+E110</f>
        <v>36000</v>
      </c>
      <c r="F102" s="87">
        <f>F103+F106+F110</f>
        <v>5977</v>
      </c>
      <c r="G102" s="87">
        <f>G103+G106+G110</f>
        <v>41667</v>
      </c>
      <c r="H102" s="11">
        <f t="shared" si="5"/>
        <v>0.9025815430771646</v>
      </c>
      <c r="I102" s="11">
        <f>+G102/E102</f>
        <v>1.1574166666666668</v>
      </c>
      <c r="J102" s="93"/>
      <c r="K102" s="92"/>
      <c r="L102" s="92"/>
      <c r="M102" s="92"/>
    </row>
    <row r="103" spans="1:13" ht="15">
      <c r="A103" s="45"/>
      <c r="B103" s="25" t="s">
        <v>92</v>
      </c>
      <c r="C103" s="5"/>
      <c r="D103" s="116"/>
      <c r="E103" s="33"/>
      <c r="F103" s="33">
        <f>G103-40</f>
        <v>9</v>
      </c>
      <c r="G103" s="21">
        <f>G104+G105</f>
        <v>49</v>
      </c>
      <c r="H103" s="11"/>
      <c r="I103" s="6"/>
      <c r="J103" s="93"/>
      <c r="K103" s="92"/>
      <c r="L103" s="92"/>
      <c r="M103" s="92"/>
    </row>
    <row r="104" spans="1:13" ht="15">
      <c r="A104" s="45"/>
      <c r="B104" s="25" t="s">
        <v>98</v>
      </c>
      <c r="C104" s="5" t="s">
        <v>71</v>
      </c>
      <c r="D104" s="116"/>
      <c r="E104" s="33"/>
      <c r="F104" s="33"/>
      <c r="G104" s="21"/>
      <c r="H104" s="11"/>
      <c r="I104" s="6"/>
      <c r="J104" s="93"/>
      <c r="K104" s="92"/>
      <c r="L104" s="92"/>
      <c r="M104" s="92"/>
    </row>
    <row r="105" spans="1:13" ht="15">
      <c r="A105" s="45"/>
      <c r="B105" s="25" t="s">
        <v>99</v>
      </c>
      <c r="C105" s="5"/>
      <c r="D105" s="116"/>
      <c r="E105" s="33"/>
      <c r="F105" s="33">
        <f>G105-40</f>
        <v>9</v>
      </c>
      <c r="G105" s="21">
        <v>49</v>
      </c>
      <c r="H105" s="11"/>
      <c r="I105" s="6"/>
      <c r="J105" s="93"/>
      <c r="K105" s="92"/>
      <c r="L105" s="92"/>
      <c r="M105" s="92"/>
    </row>
    <row r="106" spans="1:13" ht="15">
      <c r="A106" s="45"/>
      <c r="B106" s="25" t="s">
        <v>94</v>
      </c>
      <c r="C106" s="5" t="s">
        <v>71</v>
      </c>
      <c r="D106" s="88">
        <f>D107+D108+D109</f>
        <v>44981.25</v>
      </c>
      <c r="E106" s="88">
        <f>E107+E108+E109</f>
        <v>33500</v>
      </c>
      <c r="F106" s="33">
        <f>+F107+F108+F109</f>
        <v>5968</v>
      </c>
      <c r="G106" s="33">
        <f>+G107+G108+G109</f>
        <v>41468</v>
      </c>
      <c r="H106" s="11">
        <f t="shared" si="5"/>
        <v>0.92189523412533</v>
      </c>
      <c r="I106" s="11">
        <f>+G106/E106</f>
        <v>1.2378507462686568</v>
      </c>
      <c r="J106" s="93"/>
      <c r="K106" s="92"/>
      <c r="L106" s="92"/>
      <c r="M106" s="92"/>
    </row>
    <row r="107" spans="1:13" ht="15">
      <c r="A107" s="45"/>
      <c r="B107" s="25" t="s">
        <v>100</v>
      </c>
      <c r="C107" s="5" t="s">
        <v>71</v>
      </c>
      <c r="D107" s="33">
        <v>29758.5</v>
      </c>
      <c r="E107" s="33">
        <v>18000</v>
      </c>
      <c r="F107" s="33">
        <f>G107-21000</f>
        <v>4524</v>
      </c>
      <c r="G107" s="33">
        <v>25524</v>
      </c>
      <c r="H107" s="11">
        <f t="shared" si="5"/>
        <v>0.8577045213972478</v>
      </c>
      <c r="I107" s="11">
        <f>+G107/E107</f>
        <v>1.418</v>
      </c>
      <c r="J107" s="93"/>
      <c r="K107" s="92"/>
      <c r="L107" s="92"/>
      <c r="M107" s="92"/>
    </row>
    <row r="108" spans="1:13" ht="15">
      <c r="A108" s="45"/>
      <c r="B108" s="25" t="s">
        <v>101</v>
      </c>
      <c r="C108" s="5" t="s">
        <v>71</v>
      </c>
      <c r="D108" s="50">
        <v>574.55</v>
      </c>
      <c r="E108" s="33">
        <v>2000</v>
      </c>
      <c r="F108" s="33">
        <f>G108-1500</f>
        <v>187</v>
      </c>
      <c r="G108" s="21">
        <v>1687</v>
      </c>
      <c r="H108" s="11">
        <f t="shared" si="5"/>
        <v>2.936210947698199</v>
      </c>
      <c r="I108" s="11">
        <f>+G108/E108</f>
        <v>0.8435</v>
      </c>
      <c r="J108" s="93"/>
      <c r="K108" s="92"/>
      <c r="L108" s="92"/>
      <c r="M108" s="92"/>
    </row>
    <row r="109" spans="1:13" ht="15">
      <c r="A109" s="45"/>
      <c r="B109" s="25" t="s">
        <v>102</v>
      </c>
      <c r="C109" s="5" t="s">
        <v>71</v>
      </c>
      <c r="D109" s="50">
        <v>14648.2</v>
      </c>
      <c r="E109" s="33">
        <v>13500</v>
      </c>
      <c r="F109" s="33">
        <f>G109-13000</f>
        <v>1257</v>
      </c>
      <c r="G109" s="33">
        <v>14257</v>
      </c>
      <c r="H109" s="11">
        <f t="shared" si="5"/>
        <v>0.9732936470009966</v>
      </c>
      <c r="I109" s="11">
        <f>+G109/E109</f>
        <v>1.0560740740740742</v>
      </c>
      <c r="J109" s="93"/>
      <c r="K109" s="92"/>
      <c r="L109" s="92"/>
      <c r="M109" s="92"/>
    </row>
    <row r="110" spans="1:13" ht="30">
      <c r="A110" s="45"/>
      <c r="B110" s="51" t="s">
        <v>103</v>
      </c>
      <c r="C110" s="5" t="s">
        <v>71</v>
      </c>
      <c r="D110" s="50">
        <v>1183</v>
      </c>
      <c r="E110" s="79">
        <v>2500</v>
      </c>
      <c r="F110" s="79">
        <f>G110-150</f>
        <v>0</v>
      </c>
      <c r="G110" s="106">
        <v>150</v>
      </c>
      <c r="H110" s="11">
        <f t="shared" si="5"/>
        <v>0.12679628064243448</v>
      </c>
      <c r="I110" s="52">
        <f>+G110/E110</f>
        <v>0.06</v>
      </c>
      <c r="J110" s="93"/>
      <c r="K110" s="92"/>
      <c r="L110" s="92"/>
      <c r="M110" s="92"/>
    </row>
    <row r="111" spans="1:13" ht="15" customHeight="1">
      <c r="A111" s="45" t="s">
        <v>82</v>
      </c>
      <c r="B111" s="27" t="s">
        <v>104</v>
      </c>
      <c r="C111" s="7" t="s">
        <v>85</v>
      </c>
      <c r="D111" s="117"/>
      <c r="E111" s="25"/>
      <c r="F111" s="25"/>
      <c r="G111" s="50"/>
      <c r="H111" s="6"/>
      <c r="I111" s="6"/>
      <c r="J111" s="93"/>
      <c r="K111" s="92"/>
      <c r="L111" s="92"/>
      <c r="M111" s="92"/>
    </row>
    <row r="112" spans="1:13" ht="14.25" customHeight="1">
      <c r="A112" s="45"/>
      <c r="B112" s="53" t="s">
        <v>105</v>
      </c>
      <c r="C112" s="5" t="s">
        <v>71</v>
      </c>
      <c r="D112" s="116"/>
      <c r="E112" s="25"/>
      <c r="F112" s="25"/>
      <c r="G112" s="50"/>
      <c r="H112" s="6"/>
      <c r="I112" s="6"/>
      <c r="J112" s="93"/>
      <c r="K112" s="92"/>
      <c r="L112" s="92"/>
      <c r="M112" s="92"/>
    </row>
    <row r="113" spans="1:13" ht="15.75" customHeight="1">
      <c r="A113" s="45"/>
      <c r="B113" s="53" t="s">
        <v>106</v>
      </c>
      <c r="C113" s="5" t="s">
        <v>71</v>
      </c>
      <c r="D113" s="116"/>
      <c r="E113" s="25"/>
      <c r="F113" s="25"/>
      <c r="G113" s="50"/>
      <c r="H113" s="6"/>
      <c r="I113" s="6"/>
      <c r="J113" s="93"/>
      <c r="K113" s="92"/>
      <c r="L113" s="92"/>
      <c r="M113" s="92"/>
    </row>
    <row r="114" spans="1:13" ht="15" customHeight="1">
      <c r="A114" s="45"/>
      <c r="B114" s="53" t="s">
        <v>107</v>
      </c>
      <c r="C114" s="5" t="s">
        <v>71</v>
      </c>
      <c r="D114" s="116"/>
      <c r="E114" s="25"/>
      <c r="F114" s="25"/>
      <c r="G114" s="50"/>
      <c r="H114" s="6"/>
      <c r="I114" s="6"/>
      <c r="J114" s="93"/>
      <c r="K114" s="92"/>
      <c r="L114" s="92"/>
      <c r="M114" s="92"/>
    </row>
    <row r="115" spans="1:13" ht="15">
      <c r="A115" s="45" t="s">
        <v>108</v>
      </c>
      <c r="B115" s="42" t="s">
        <v>109</v>
      </c>
      <c r="C115" s="54" t="s">
        <v>110</v>
      </c>
      <c r="D115" s="116"/>
      <c r="E115" s="25"/>
      <c r="F115" s="25"/>
      <c r="G115" s="50"/>
      <c r="H115" s="6"/>
      <c r="I115" s="6"/>
      <c r="J115" s="93"/>
      <c r="K115" s="92"/>
      <c r="L115" s="92"/>
      <c r="M115" s="92"/>
    </row>
    <row r="116" spans="1:13" ht="15">
      <c r="A116" s="45"/>
      <c r="B116" s="55" t="s">
        <v>111</v>
      </c>
      <c r="C116" s="54" t="s">
        <v>71</v>
      </c>
      <c r="D116" s="116"/>
      <c r="E116" s="25"/>
      <c r="F116" s="25"/>
      <c r="G116" s="50"/>
      <c r="H116" s="6"/>
      <c r="I116" s="6"/>
      <c r="J116" s="93"/>
      <c r="K116" s="92"/>
      <c r="L116" s="92"/>
      <c r="M116" s="92"/>
    </row>
    <row r="117" spans="1:13" ht="15">
      <c r="A117" s="45"/>
      <c r="B117" s="55" t="s">
        <v>112</v>
      </c>
      <c r="C117" s="54" t="s">
        <v>71</v>
      </c>
      <c r="D117" s="116"/>
      <c r="E117" s="25"/>
      <c r="F117" s="25"/>
      <c r="G117" s="50"/>
      <c r="H117" s="6"/>
      <c r="I117" s="6"/>
      <c r="J117" s="93"/>
      <c r="K117" s="92"/>
      <c r="L117" s="92"/>
      <c r="M117" s="92"/>
    </row>
    <row r="118" spans="1:13" ht="15">
      <c r="A118" s="45"/>
      <c r="B118" s="55" t="s">
        <v>113</v>
      </c>
      <c r="C118" s="54" t="s">
        <v>71</v>
      </c>
      <c r="D118" s="116"/>
      <c r="E118" s="89"/>
      <c r="F118" s="89"/>
      <c r="G118" s="50"/>
      <c r="H118" s="6"/>
      <c r="I118" s="6"/>
      <c r="J118" s="93"/>
      <c r="K118" s="92"/>
      <c r="L118" s="92"/>
      <c r="M118" s="92"/>
    </row>
    <row r="119" spans="1:13" ht="15">
      <c r="A119" s="42">
        <v>4</v>
      </c>
      <c r="B119" s="56" t="s">
        <v>114</v>
      </c>
      <c r="C119" s="7" t="s">
        <v>37</v>
      </c>
      <c r="D119" s="86">
        <f>+D120+D136</f>
        <v>78717.93</v>
      </c>
      <c r="E119" s="86">
        <f>+E120+E136</f>
        <v>148300</v>
      </c>
      <c r="F119" s="86">
        <f>+F120+F136</f>
        <v>13705.01</v>
      </c>
      <c r="G119" s="86">
        <f>+G120+G136</f>
        <v>84520</v>
      </c>
      <c r="H119" s="6">
        <f t="shared" si="5"/>
        <v>1.073707095702339</v>
      </c>
      <c r="I119" s="6">
        <f aca="true" t="shared" si="6" ref="I119:I125">+G119/E119</f>
        <v>0.569925826028321</v>
      </c>
      <c r="J119" s="93"/>
      <c r="K119" s="93"/>
      <c r="L119" s="92"/>
      <c r="M119" s="92"/>
    </row>
    <row r="120" spans="1:13" ht="15">
      <c r="A120" s="45" t="s">
        <v>115</v>
      </c>
      <c r="B120" s="57" t="s">
        <v>116</v>
      </c>
      <c r="C120" s="7" t="s">
        <v>37</v>
      </c>
      <c r="D120" s="87">
        <f>D121+D127</f>
        <v>37082.9</v>
      </c>
      <c r="E120" s="87">
        <f>E121+E127</f>
        <v>85550</v>
      </c>
      <c r="F120" s="87">
        <f>F121+F127</f>
        <v>8508.970000000001</v>
      </c>
      <c r="G120" s="87">
        <f>G121+G127</f>
        <v>41631.19</v>
      </c>
      <c r="H120" s="6">
        <f t="shared" si="5"/>
        <v>1.1226519500902032</v>
      </c>
      <c r="I120" s="6">
        <f t="shared" si="6"/>
        <v>0.4866299240210403</v>
      </c>
      <c r="J120" s="93"/>
      <c r="K120" s="93"/>
      <c r="L120" s="92"/>
      <c r="M120" s="92"/>
    </row>
    <row r="121" spans="1:13" ht="15">
      <c r="A121" s="44" t="s">
        <v>117</v>
      </c>
      <c r="B121" s="42" t="s">
        <v>91</v>
      </c>
      <c r="C121" s="7" t="s">
        <v>37</v>
      </c>
      <c r="D121" s="87">
        <f>D122+D124+D126</f>
        <v>28090.260000000002</v>
      </c>
      <c r="E121" s="87">
        <f>E122+E124+E126</f>
        <v>55800</v>
      </c>
      <c r="F121" s="87">
        <f>F122+F124+F126</f>
        <v>761.0900000000004</v>
      </c>
      <c r="G121" s="87">
        <f>G122+G124+G126</f>
        <v>28865.19</v>
      </c>
      <c r="H121" s="6">
        <f t="shared" si="5"/>
        <v>1.0275871423048415</v>
      </c>
      <c r="I121" s="6">
        <f t="shared" si="6"/>
        <v>0.517297311827957</v>
      </c>
      <c r="J121" s="93"/>
      <c r="K121" s="92"/>
      <c r="L121" s="92"/>
      <c r="M121" s="92"/>
    </row>
    <row r="122" spans="1:13" ht="15">
      <c r="A122" s="45"/>
      <c r="B122" s="25" t="s">
        <v>118</v>
      </c>
      <c r="C122" s="5" t="s">
        <v>71</v>
      </c>
      <c r="D122" s="21">
        <v>27683.18</v>
      </c>
      <c r="E122" s="33">
        <v>54900</v>
      </c>
      <c r="F122" s="33">
        <f>G122-27785.82</f>
        <v>707.1800000000003</v>
      </c>
      <c r="G122" s="21">
        <v>28493</v>
      </c>
      <c r="H122" s="11">
        <f t="shared" si="5"/>
        <v>1.029253142160691</v>
      </c>
      <c r="I122" s="11">
        <f t="shared" si="6"/>
        <v>0.5189981785063752</v>
      </c>
      <c r="J122" s="93"/>
      <c r="K122" s="93"/>
      <c r="L122" s="94"/>
      <c r="M122" s="92"/>
    </row>
    <row r="123" spans="1:13" ht="15">
      <c r="A123" s="45"/>
      <c r="B123" s="25" t="s">
        <v>119</v>
      </c>
      <c r="C123" s="5" t="s">
        <v>71</v>
      </c>
      <c r="D123" s="119">
        <v>10441</v>
      </c>
      <c r="E123" s="33">
        <v>26300</v>
      </c>
      <c r="F123" s="33">
        <f>G123-8355</f>
        <v>707</v>
      </c>
      <c r="G123" s="21">
        <v>9062</v>
      </c>
      <c r="H123" s="11">
        <f t="shared" si="5"/>
        <v>0.8679245283018868</v>
      </c>
      <c r="I123" s="11">
        <f t="shared" si="6"/>
        <v>0.34456273764258555</v>
      </c>
      <c r="J123" s="93"/>
      <c r="K123" s="94"/>
      <c r="L123" s="94"/>
      <c r="M123" s="92"/>
    </row>
    <row r="124" spans="1:13" ht="15">
      <c r="A124" s="45"/>
      <c r="B124" s="25" t="s">
        <v>120</v>
      </c>
      <c r="C124" s="5" t="s">
        <v>71</v>
      </c>
      <c r="D124" s="115">
        <v>318.22</v>
      </c>
      <c r="E124" s="33">
        <v>800</v>
      </c>
      <c r="F124" s="33">
        <f>G124-249.75</f>
        <v>44.44</v>
      </c>
      <c r="G124" s="21">
        <v>294.19</v>
      </c>
      <c r="H124" s="11">
        <f t="shared" si="5"/>
        <v>0.9244862045126012</v>
      </c>
      <c r="I124" s="11">
        <f t="shared" si="6"/>
        <v>0.3677375</v>
      </c>
      <c r="J124" s="93"/>
      <c r="K124" s="92"/>
      <c r="L124" s="92"/>
      <c r="M124" s="92"/>
    </row>
    <row r="125" spans="1:13" ht="15.75">
      <c r="A125" s="45"/>
      <c r="B125" s="25" t="s">
        <v>121</v>
      </c>
      <c r="C125" s="5" t="s">
        <v>71</v>
      </c>
      <c r="D125" s="115">
        <f>+D124</f>
        <v>318.22</v>
      </c>
      <c r="E125" s="33">
        <f>+E124</f>
        <v>800</v>
      </c>
      <c r="F125" s="33">
        <f>G125-249.75</f>
        <v>44.44</v>
      </c>
      <c r="G125" s="21">
        <v>294.19</v>
      </c>
      <c r="H125" s="11">
        <f t="shared" si="5"/>
        <v>0.9244862045126012</v>
      </c>
      <c r="I125" s="11">
        <f t="shared" si="6"/>
        <v>0.3677375</v>
      </c>
      <c r="J125" s="93"/>
      <c r="K125" s="94"/>
      <c r="L125" s="94"/>
      <c r="M125" s="94">
        <f>+K125-L125</f>
        <v>0</v>
      </c>
    </row>
    <row r="126" spans="1:13" ht="15">
      <c r="A126" s="45"/>
      <c r="B126" s="25" t="s">
        <v>122</v>
      </c>
      <c r="C126" s="5" t="s">
        <v>71</v>
      </c>
      <c r="D126" s="115">
        <v>88.86</v>
      </c>
      <c r="E126" s="33">
        <v>100</v>
      </c>
      <c r="F126" s="33">
        <f>G126-68.53</f>
        <v>9.469999999999999</v>
      </c>
      <c r="G126" s="21">
        <v>78</v>
      </c>
      <c r="H126" s="11">
        <f t="shared" si="5"/>
        <v>0.8777852802160703</v>
      </c>
      <c r="I126" s="11"/>
      <c r="J126" s="93"/>
      <c r="K126" s="92"/>
      <c r="L126" s="92"/>
      <c r="M126" s="92"/>
    </row>
    <row r="127" spans="1:13" ht="15">
      <c r="A127" s="44" t="s">
        <v>123</v>
      </c>
      <c r="B127" s="42" t="s">
        <v>97</v>
      </c>
      <c r="C127" s="7" t="s">
        <v>37</v>
      </c>
      <c r="D127" s="118">
        <f>D128+D131+D135</f>
        <v>8992.64</v>
      </c>
      <c r="E127" s="87">
        <f>E128+E131+E135</f>
        <v>29750</v>
      </c>
      <c r="F127" s="87">
        <f>F128+F131+F135</f>
        <v>7747.88</v>
      </c>
      <c r="G127" s="87">
        <f>G128+G131+G135</f>
        <v>12766</v>
      </c>
      <c r="H127" s="6">
        <f t="shared" si="5"/>
        <v>1.4196053661661092</v>
      </c>
      <c r="I127" s="6">
        <f>+G127/E127</f>
        <v>0.429109243697479</v>
      </c>
      <c r="J127" s="93"/>
      <c r="K127" s="92"/>
      <c r="L127" s="92"/>
      <c r="M127" s="92"/>
    </row>
    <row r="128" spans="1:13" ht="15">
      <c r="A128" s="45"/>
      <c r="B128" s="25" t="s">
        <v>124</v>
      </c>
      <c r="C128" s="5" t="s">
        <v>71</v>
      </c>
      <c r="D128" s="115"/>
      <c r="E128" s="33"/>
      <c r="F128" s="33">
        <f>G128-202</f>
        <v>0</v>
      </c>
      <c r="G128" s="21">
        <v>202</v>
      </c>
      <c r="H128" s="11"/>
      <c r="I128" s="6"/>
      <c r="J128" s="93"/>
      <c r="K128" s="92"/>
      <c r="L128" s="92"/>
      <c r="M128" s="92"/>
    </row>
    <row r="129" spans="1:13" ht="15.75">
      <c r="A129" s="45"/>
      <c r="B129" s="25" t="s">
        <v>125</v>
      </c>
      <c r="C129" s="5" t="s">
        <v>71</v>
      </c>
      <c r="D129" s="115"/>
      <c r="E129" s="33"/>
      <c r="F129" s="33"/>
      <c r="G129" s="21"/>
      <c r="H129" s="11"/>
      <c r="I129" s="6"/>
      <c r="J129" s="93"/>
      <c r="K129" s="92"/>
      <c r="L129" s="92"/>
      <c r="M129" s="92"/>
    </row>
    <row r="130" spans="1:13" ht="15">
      <c r="A130" s="45"/>
      <c r="B130" s="25" t="s">
        <v>126</v>
      </c>
      <c r="C130" s="5"/>
      <c r="D130" s="115"/>
      <c r="E130" s="33"/>
      <c r="F130" s="33"/>
      <c r="G130" s="21"/>
      <c r="H130" s="11"/>
      <c r="I130" s="6"/>
      <c r="J130" s="93"/>
      <c r="K130" s="92"/>
      <c r="L130" s="92"/>
      <c r="M130" s="92"/>
    </row>
    <row r="131" spans="1:13" ht="15">
      <c r="A131" s="45"/>
      <c r="B131" s="25" t="s">
        <v>127</v>
      </c>
      <c r="C131" s="5" t="s">
        <v>71</v>
      </c>
      <c r="D131" s="33">
        <f>D132+D133+D134</f>
        <v>8462.14</v>
      </c>
      <c r="E131" s="33">
        <f>E132+E133+E134</f>
        <v>28250</v>
      </c>
      <c r="F131" s="33">
        <f>G131-4732.12</f>
        <v>7463.88</v>
      </c>
      <c r="G131" s="33">
        <f>G132+G133+G134</f>
        <v>12196</v>
      </c>
      <c r="H131" s="11">
        <f t="shared" si="5"/>
        <v>1.4412429952707</v>
      </c>
      <c r="I131" s="11">
        <f>+G131/E131</f>
        <v>0.43171681415929203</v>
      </c>
      <c r="J131" s="93"/>
      <c r="K131" s="92"/>
      <c r="L131" s="92"/>
      <c r="M131" s="92"/>
    </row>
    <row r="132" spans="1:13" ht="15.75">
      <c r="A132" s="45"/>
      <c r="B132" s="25" t="s">
        <v>128</v>
      </c>
      <c r="C132" s="5" t="s">
        <v>71</v>
      </c>
      <c r="D132" s="21">
        <v>4020.18</v>
      </c>
      <c r="E132" s="33">
        <v>14800</v>
      </c>
      <c r="F132" s="33">
        <f>G132-1072.08</f>
        <v>3810.92</v>
      </c>
      <c r="G132" s="33">
        <v>4883</v>
      </c>
      <c r="H132" s="11">
        <f t="shared" si="5"/>
        <v>1.2146222308453851</v>
      </c>
      <c r="I132" s="11">
        <f>+G132/E132</f>
        <v>0.3299324324324324</v>
      </c>
      <c r="J132" s="93"/>
      <c r="K132" s="92"/>
      <c r="L132" s="92"/>
      <c r="M132" s="92"/>
    </row>
    <row r="133" spans="1:13" ht="15">
      <c r="A133" s="45"/>
      <c r="B133" s="25" t="s">
        <v>129</v>
      </c>
      <c r="C133" s="5" t="s">
        <v>71</v>
      </c>
      <c r="D133" s="21">
        <v>91.96</v>
      </c>
      <c r="E133" s="33">
        <v>5200</v>
      </c>
      <c r="F133" s="33">
        <f>G133-983.3</f>
        <v>1724.7</v>
      </c>
      <c r="G133" s="33">
        <v>2708</v>
      </c>
      <c r="H133" s="11">
        <f t="shared" si="5"/>
        <v>29.447585906916053</v>
      </c>
      <c r="I133" s="11"/>
      <c r="J133" s="93"/>
      <c r="K133" s="92"/>
      <c r="L133" s="92"/>
      <c r="M133" s="92"/>
    </row>
    <row r="134" spans="1:13" ht="15">
      <c r="A134" s="45"/>
      <c r="B134" s="25" t="s">
        <v>130</v>
      </c>
      <c r="C134" s="5" t="s">
        <v>71</v>
      </c>
      <c r="D134" s="21">
        <v>4350</v>
      </c>
      <c r="E134" s="33">
        <v>8250</v>
      </c>
      <c r="F134" s="33">
        <f>G134-2676.74</f>
        <v>1928.2600000000002</v>
      </c>
      <c r="G134" s="33">
        <v>4605</v>
      </c>
      <c r="H134" s="11">
        <f t="shared" si="5"/>
        <v>1.0586206896551724</v>
      </c>
      <c r="I134" s="11">
        <f>+G134/E134</f>
        <v>0.5581818181818182</v>
      </c>
      <c r="J134" s="93"/>
      <c r="K134" s="92"/>
      <c r="L134" s="92"/>
      <c r="M134" s="92"/>
    </row>
    <row r="135" spans="1:13" ht="30">
      <c r="A135" s="45"/>
      <c r="B135" s="58" t="s">
        <v>131</v>
      </c>
      <c r="C135" s="5" t="s">
        <v>71</v>
      </c>
      <c r="D135" s="106">
        <v>530.5</v>
      </c>
      <c r="E135" s="79">
        <v>1500</v>
      </c>
      <c r="F135" s="79">
        <f>G135-84</f>
        <v>284</v>
      </c>
      <c r="G135" s="107">
        <v>368</v>
      </c>
      <c r="H135" s="52">
        <f t="shared" si="5"/>
        <v>0.6936852026390198</v>
      </c>
      <c r="I135" s="52">
        <f>+G135/E135</f>
        <v>0.24533333333333332</v>
      </c>
      <c r="J135" s="93"/>
      <c r="K135" s="92"/>
      <c r="L135" s="92"/>
      <c r="M135" s="92"/>
    </row>
    <row r="136" spans="1:13" ht="15">
      <c r="A136" s="45" t="s">
        <v>132</v>
      </c>
      <c r="B136" s="59" t="s">
        <v>133</v>
      </c>
      <c r="C136" s="7" t="s">
        <v>37</v>
      </c>
      <c r="D136" s="87">
        <f>D137+D148</f>
        <v>41635.03</v>
      </c>
      <c r="E136" s="87">
        <f>E137+E148</f>
        <v>62750</v>
      </c>
      <c r="F136" s="87">
        <f>F137+F148</f>
        <v>5196.039999999999</v>
      </c>
      <c r="G136" s="87">
        <f>G137+G148</f>
        <v>42888.81</v>
      </c>
      <c r="H136" s="6">
        <f t="shared" si="5"/>
        <v>1.0301135846425473</v>
      </c>
      <c r="I136" s="6">
        <f>+G136/E136</f>
        <v>0.6834870119521912</v>
      </c>
      <c r="J136" s="93"/>
      <c r="K136" s="93"/>
      <c r="L136" s="92"/>
      <c r="M136" s="92"/>
    </row>
    <row r="137" spans="1:13" ht="15">
      <c r="A137" s="44" t="s">
        <v>134</v>
      </c>
      <c r="B137" s="59" t="s">
        <v>135</v>
      </c>
      <c r="C137" s="7" t="s">
        <v>37</v>
      </c>
      <c r="D137" s="87">
        <f>D138+D141+D144+D147</f>
        <v>34385.47</v>
      </c>
      <c r="E137" s="87">
        <f>E138+E141+E144+E147</f>
        <v>50550</v>
      </c>
      <c r="F137" s="87">
        <f>F138+F141+F147</f>
        <v>4922.339999999999</v>
      </c>
      <c r="G137" s="87">
        <f>G138+G141+G144+G147</f>
        <v>36422.11</v>
      </c>
      <c r="H137" s="6">
        <f t="shared" si="5"/>
        <v>1.0592296688106924</v>
      </c>
      <c r="I137" s="6">
        <f>+G137/E137</f>
        <v>0.7205165182987141</v>
      </c>
      <c r="J137" s="93"/>
      <c r="K137" s="122"/>
      <c r="L137" s="123"/>
      <c r="M137" s="92"/>
    </row>
    <row r="138" spans="1:13" ht="15">
      <c r="A138" s="45"/>
      <c r="B138" s="60" t="s">
        <v>136</v>
      </c>
      <c r="C138" s="7" t="s">
        <v>37</v>
      </c>
      <c r="D138" s="120">
        <f>13686-750</f>
        <v>12936</v>
      </c>
      <c r="E138" s="33">
        <v>20500</v>
      </c>
      <c r="F138" s="33">
        <f>G138-14500</f>
        <v>1676.3799999999992</v>
      </c>
      <c r="G138" s="21">
        <v>16176.38</v>
      </c>
      <c r="H138" s="11">
        <f t="shared" si="5"/>
        <v>1.2504931972789115</v>
      </c>
      <c r="I138" s="11">
        <f>+G138/E138</f>
        <v>0.7890917073170731</v>
      </c>
      <c r="J138" s="93"/>
      <c r="K138" s="122"/>
      <c r="L138" s="122"/>
      <c r="M138" s="92"/>
    </row>
    <row r="139" spans="1:13" ht="15">
      <c r="A139" s="45"/>
      <c r="B139" s="60" t="s">
        <v>137</v>
      </c>
      <c r="C139" s="5" t="s">
        <v>71</v>
      </c>
      <c r="D139" s="21"/>
      <c r="E139" s="88"/>
      <c r="F139" s="88"/>
      <c r="G139" s="25"/>
      <c r="H139" s="11"/>
      <c r="I139" s="11"/>
      <c r="J139" s="93"/>
      <c r="K139" s="124"/>
      <c r="L139" s="123"/>
      <c r="M139" s="92"/>
    </row>
    <row r="140" spans="1:13" ht="15">
      <c r="A140" s="45"/>
      <c r="B140" s="60" t="s">
        <v>138</v>
      </c>
      <c r="C140" s="5" t="s">
        <v>71</v>
      </c>
      <c r="D140" s="21"/>
      <c r="E140" s="33"/>
      <c r="F140" s="33"/>
      <c r="G140" s="25"/>
      <c r="H140" s="11"/>
      <c r="I140" s="11"/>
      <c r="J140" s="93"/>
      <c r="K140" s="125"/>
      <c r="L140" s="123"/>
      <c r="M140" s="92"/>
    </row>
    <row r="141" spans="1:13" ht="15">
      <c r="A141" s="45"/>
      <c r="B141" s="60" t="s">
        <v>139</v>
      </c>
      <c r="C141" s="7" t="s">
        <v>37</v>
      </c>
      <c r="D141" s="33">
        <f>8167.47</f>
        <v>8167.47</v>
      </c>
      <c r="E141" s="33">
        <v>4500</v>
      </c>
      <c r="F141" s="33">
        <f>550.65+700</f>
        <v>1250.65</v>
      </c>
      <c r="G141" s="21">
        <v>5687.73</v>
      </c>
      <c r="H141" s="11">
        <f t="shared" si="5"/>
        <v>0.6963882328309745</v>
      </c>
      <c r="I141" s="11">
        <f>+G141/E141</f>
        <v>1.2639399999999998</v>
      </c>
      <c r="J141" s="93"/>
      <c r="K141" s="125"/>
      <c r="L141" s="123"/>
      <c r="M141" s="92"/>
    </row>
    <row r="142" spans="1:13" ht="15">
      <c r="A142" s="45"/>
      <c r="B142" s="60" t="s">
        <v>140</v>
      </c>
      <c r="C142" s="5" t="s">
        <v>71</v>
      </c>
      <c r="D142" s="33">
        <v>4211.15</v>
      </c>
      <c r="E142" s="33">
        <f>+E141</f>
        <v>4500</v>
      </c>
      <c r="F142" s="33">
        <f>G142-4440</f>
        <v>490</v>
      </c>
      <c r="G142" s="21">
        <v>4930</v>
      </c>
      <c r="H142" s="11">
        <f t="shared" si="5"/>
        <v>1.170701589827007</v>
      </c>
      <c r="I142" s="11">
        <f>+G142/E142</f>
        <v>1.0955555555555556</v>
      </c>
      <c r="J142" s="93"/>
      <c r="K142" s="124"/>
      <c r="L142" s="126"/>
      <c r="M142" s="94"/>
    </row>
    <row r="143" spans="1:13" ht="15">
      <c r="A143" s="45"/>
      <c r="B143" s="60" t="s">
        <v>138</v>
      </c>
      <c r="C143" s="5" t="s">
        <v>71</v>
      </c>
      <c r="D143" s="21"/>
      <c r="E143" s="33"/>
      <c r="F143" s="33"/>
      <c r="G143" s="25"/>
      <c r="H143" s="11"/>
      <c r="I143" s="11"/>
      <c r="J143" s="93"/>
      <c r="K143" s="124"/>
      <c r="L143" s="123"/>
      <c r="M143" s="92"/>
    </row>
    <row r="144" spans="1:13" ht="15">
      <c r="A144" s="45"/>
      <c r="B144" s="60" t="s">
        <v>141</v>
      </c>
      <c r="C144" s="7" t="s">
        <v>37</v>
      </c>
      <c r="D144" s="21"/>
      <c r="E144" s="33"/>
      <c r="F144" s="33">
        <f>G144-289.31</f>
        <v>215.69</v>
      </c>
      <c r="G144" s="25">
        <v>505</v>
      </c>
      <c r="H144" s="11"/>
      <c r="I144" s="11"/>
      <c r="J144" s="93"/>
      <c r="K144" s="125"/>
      <c r="L144" s="123"/>
      <c r="M144" s="92"/>
    </row>
    <row r="145" spans="1:13" ht="15">
      <c r="A145" s="45"/>
      <c r="B145" s="60" t="s">
        <v>137</v>
      </c>
      <c r="C145" s="5" t="s">
        <v>71</v>
      </c>
      <c r="D145" s="21"/>
      <c r="E145" s="33"/>
      <c r="F145" s="33"/>
      <c r="G145" s="25"/>
      <c r="H145" s="11"/>
      <c r="I145" s="11"/>
      <c r="J145" s="93"/>
      <c r="K145" s="125"/>
      <c r="L145" s="123"/>
      <c r="M145" s="92"/>
    </row>
    <row r="146" spans="1:13" ht="15">
      <c r="A146" s="45"/>
      <c r="B146" s="60" t="s">
        <v>138</v>
      </c>
      <c r="C146" s="5" t="s">
        <v>71</v>
      </c>
      <c r="D146" s="21"/>
      <c r="E146" s="33"/>
      <c r="F146" s="33"/>
      <c r="G146" s="25"/>
      <c r="H146" s="11"/>
      <c r="I146" s="11"/>
      <c r="J146" s="93"/>
      <c r="K146" s="125"/>
      <c r="L146" s="123"/>
      <c r="M146" s="92"/>
    </row>
    <row r="147" spans="1:13" ht="15">
      <c r="A147" s="45"/>
      <c r="B147" s="60" t="s">
        <v>142</v>
      </c>
      <c r="C147" s="5" t="s">
        <v>71</v>
      </c>
      <c r="D147" s="33">
        <v>13282</v>
      </c>
      <c r="E147" s="33">
        <v>25550</v>
      </c>
      <c r="F147" s="33">
        <f>G147-12146-F144+304</f>
        <v>1995.31</v>
      </c>
      <c r="G147" s="21">
        <f>14558-G144</f>
        <v>14053</v>
      </c>
      <c r="H147" s="11">
        <f t="shared" si="5"/>
        <v>1.0580484866736937</v>
      </c>
      <c r="I147" s="11">
        <f>+G147/E147</f>
        <v>0.5500195694716242</v>
      </c>
      <c r="J147" s="93"/>
      <c r="K147" s="125"/>
      <c r="L147" s="123"/>
      <c r="M147" s="92"/>
    </row>
    <row r="148" spans="1:13" ht="15">
      <c r="A148" s="44" t="s">
        <v>143</v>
      </c>
      <c r="B148" s="59" t="s">
        <v>144</v>
      </c>
      <c r="C148" s="7" t="s">
        <v>37</v>
      </c>
      <c r="D148" s="87">
        <f>D149+D150+D151+D152+D153</f>
        <v>7249.56</v>
      </c>
      <c r="E148" s="87">
        <f>E149+E150+E151+E152+E153</f>
        <v>12200</v>
      </c>
      <c r="F148" s="87">
        <f>F149+F150+F151+F152+F153</f>
        <v>273.70000000000005</v>
      </c>
      <c r="G148" s="87">
        <f>G149+G150+G151+G152+G153</f>
        <v>6466.7</v>
      </c>
      <c r="H148" s="6">
        <f t="shared" si="5"/>
        <v>0.8920127566362648</v>
      </c>
      <c r="I148" s="6">
        <f>+G148/E148</f>
        <v>0.5300573770491803</v>
      </c>
      <c r="J148" s="93"/>
      <c r="K148" s="124"/>
      <c r="L148" s="123"/>
      <c r="M148" s="92"/>
    </row>
    <row r="149" spans="1:13" ht="15">
      <c r="A149" s="45"/>
      <c r="B149" s="46" t="s">
        <v>145</v>
      </c>
      <c r="C149" s="5" t="s">
        <v>71</v>
      </c>
      <c r="D149" s="120">
        <f>3156.6</f>
        <v>3156.6</v>
      </c>
      <c r="E149" s="33">
        <v>5500</v>
      </c>
      <c r="F149" s="33">
        <f>G149-2840</f>
        <v>0</v>
      </c>
      <c r="G149" s="21">
        <v>2840</v>
      </c>
      <c r="H149" s="11">
        <f t="shared" si="5"/>
        <v>0.8997022112399418</v>
      </c>
      <c r="I149" s="11">
        <f>+G149/E149</f>
        <v>0.5163636363636364</v>
      </c>
      <c r="J149" s="93"/>
      <c r="K149" s="122"/>
      <c r="L149" s="123"/>
      <c r="M149" s="92"/>
    </row>
    <row r="150" spans="1:13" ht="15">
      <c r="A150" s="45"/>
      <c r="B150" s="25" t="s">
        <v>146</v>
      </c>
      <c r="C150" s="5" t="s">
        <v>71</v>
      </c>
      <c r="D150" s="120">
        <v>2752</v>
      </c>
      <c r="E150" s="33">
        <v>4500</v>
      </c>
      <c r="F150" s="33">
        <f>G150-2252</f>
        <v>3</v>
      </c>
      <c r="G150" s="21">
        <v>2255</v>
      </c>
      <c r="H150" s="11">
        <f t="shared" si="5"/>
        <v>0.8194040697674418</v>
      </c>
      <c r="I150" s="11">
        <f>+G150/E150</f>
        <v>0.5011111111111111</v>
      </c>
      <c r="J150" s="93"/>
      <c r="K150" s="124"/>
      <c r="L150" s="123"/>
      <c r="M150" s="92"/>
    </row>
    <row r="151" spans="1:13" ht="15">
      <c r="A151" s="45"/>
      <c r="B151" s="47" t="s">
        <v>147</v>
      </c>
      <c r="C151" s="5" t="s">
        <v>71</v>
      </c>
      <c r="D151" s="120"/>
      <c r="E151" s="33"/>
      <c r="F151" s="33">
        <f>G151-7</f>
        <v>8</v>
      </c>
      <c r="G151" s="21">
        <v>15</v>
      </c>
      <c r="H151" s="116"/>
      <c r="I151" s="11"/>
      <c r="J151" s="93"/>
      <c r="K151" s="124"/>
      <c r="L151" s="123"/>
      <c r="M151" s="92"/>
    </row>
    <row r="152" spans="1:13" ht="29.25" customHeight="1">
      <c r="A152" s="45"/>
      <c r="B152" s="51" t="s">
        <v>148</v>
      </c>
      <c r="C152" s="5" t="s">
        <v>71</v>
      </c>
      <c r="D152" s="120"/>
      <c r="E152" s="33"/>
      <c r="F152" s="33">
        <f>G152-10</f>
        <v>5</v>
      </c>
      <c r="G152" s="21">
        <v>15</v>
      </c>
      <c r="H152" s="11"/>
      <c r="I152" s="11"/>
      <c r="J152" s="93"/>
      <c r="K152" s="124"/>
      <c r="L152" s="123"/>
      <c r="M152" s="92"/>
    </row>
    <row r="153" spans="1:13" ht="15">
      <c r="A153" s="61"/>
      <c r="B153" s="62" t="s">
        <v>149</v>
      </c>
      <c r="C153" s="63" t="s">
        <v>71</v>
      </c>
      <c r="D153" s="121">
        <f>1340.96</f>
        <v>1340.96</v>
      </c>
      <c r="E153" s="90">
        <v>2200</v>
      </c>
      <c r="F153" s="90">
        <f>G153-1084</f>
        <v>257.70000000000005</v>
      </c>
      <c r="G153" s="108">
        <v>1341.7</v>
      </c>
      <c r="H153" s="64">
        <f t="shared" si="5"/>
        <v>1.000551843455435</v>
      </c>
      <c r="I153" s="64">
        <f>+G153/E153</f>
        <v>0.6098636363636364</v>
      </c>
      <c r="J153" s="93"/>
      <c r="K153" s="124"/>
      <c r="L153" s="123"/>
      <c r="M153" s="92"/>
    </row>
    <row r="154" spans="11:12" ht="15">
      <c r="K154" s="124"/>
      <c r="L154" s="127"/>
    </row>
    <row r="160" ht="12.75">
      <c r="J160" s="67"/>
    </row>
  </sheetData>
  <mergeCells count="12">
    <mergeCell ref="A1:I1"/>
    <mergeCell ref="A2:I2"/>
    <mergeCell ref="A3:I3"/>
    <mergeCell ref="G5:G6"/>
    <mergeCell ref="A5:A6"/>
    <mergeCell ref="B5:B6"/>
    <mergeCell ref="C5:C6"/>
    <mergeCell ref="D5:D6"/>
    <mergeCell ref="E5:E6"/>
    <mergeCell ref="H5:I5"/>
    <mergeCell ref="B7:C7"/>
    <mergeCell ref="F5:F6"/>
  </mergeCells>
  <printOptions/>
  <pageMargins left="0.36" right="0.24" top="0.35" bottom="0.17" header="0.5" footer="0.19"/>
  <pageSetup orientation="portrait" paperSize="9" r:id="rId1"/>
  <ignoredErrors>
    <ignoredError sqref="F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D28:F28"/>
  <sheetViews>
    <sheetView workbookViewId="0" topLeftCell="A1">
      <selection activeCell="E28" sqref="E28"/>
    </sheetView>
  </sheetViews>
  <sheetFormatPr defaultColWidth="9.140625" defaultRowHeight="12.75"/>
  <sheetData>
    <row r="28" spans="4:6" ht="12.75">
      <c r="D28">
        <f>78+80+100</f>
        <v>258</v>
      </c>
      <c r="E28">
        <f>2354+2824+485</f>
        <v>5663</v>
      </c>
      <c r="F28">
        <f>+E28/D28</f>
        <v>21.949612403100776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Thanh An</cp:lastModifiedBy>
  <cp:lastPrinted>2013-07-23T03:18:39Z</cp:lastPrinted>
  <dcterms:created xsi:type="dcterms:W3CDTF">2013-06-03T07:38:21Z</dcterms:created>
  <dcterms:modified xsi:type="dcterms:W3CDTF">2013-08-07T08:47:29Z</dcterms:modified>
  <cp:category/>
  <cp:version/>
  <cp:contentType/>
  <cp:contentStatus/>
</cp:coreProperties>
</file>